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OE UNIT\2021 Budget\"/>
    </mc:Choice>
  </mc:AlternateContent>
  <bookViews>
    <workbookView xWindow="0" yWindow="0" windowWidth="28800" windowHeight="10710" activeTab="2"/>
  </bookViews>
  <sheets>
    <sheet name="Statutory Body Budget" sheetId="1" r:id="rId1"/>
    <sheet name="Statutory Body HR" sheetId="2" r:id="rId2"/>
    <sheet name="Statutory Body KPI" sheetId="3" r:id="rId3"/>
  </sheets>
  <externalReferences>
    <externalReference r:id="rId4"/>
    <externalReference r:id="rId5"/>
    <externalReference r:id="rId6"/>
  </externalReferences>
  <definedNames>
    <definedName name="_xlnm.Print_Area" localSheetId="0">'Statutory Body Budget'!$A$1:$S$55</definedName>
    <definedName name="Spread">'[1]Lists - DO NOT DELETE'!$E$3:$E$13</definedName>
  </definedNames>
  <calcPr calcId="162913"/>
</workbook>
</file>

<file path=xl/calcChain.xml><?xml version="1.0" encoding="utf-8"?>
<calcChain xmlns="http://schemas.openxmlformats.org/spreadsheetml/2006/main">
  <c r="L20" i="3" l="1"/>
  <c r="K20" i="3"/>
  <c r="J20" i="3"/>
  <c r="I20" i="3"/>
  <c r="H20" i="3"/>
  <c r="G20" i="3"/>
  <c r="F20" i="3"/>
  <c r="L13" i="3"/>
  <c r="K13" i="3"/>
  <c r="J13" i="3"/>
  <c r="I13" i="3"/>
  <c r="H13" i="3"/>
  <c r="G13" i="3"/>
  <c r="F13" i="3"/>
  <c r="L12" i="3"/>
  <c r="K12" i="3"/>
  <c r="J12" i="3"/>
  <c r="I12" i="3"/>
  <c r="H12" i="3"/>
  <c r="H14" i="3" s="1"/>
  <c r="G12" i="3"/>
  <c r="F12" i="3"/>
  <c r="F14" i="3" s="1"/>
  <c r="G43" i="2"/>
  <c r="F43" i="2"/>
  <c r="E43" i="2"/>
  <c r="D43" i="2"/>
  <c r="G38" i="2"/>
  <c r="F38" i="2"/>
  <c r="E38" i="2"/>
  <c r="D16" i="2"/>
  <c r="D20" i="2"/>
  <c r="D21" i="2"/>
  <c r="D13" i="2"/>
  <c r="D22" i="2"/>
  <c r="D18" i="2"/>
  <c r="D12" i="2"/>
  <c r="D24" i="2"/>
  <c r="D17" i="2"/>
  <c r="D15" i="2"/>
  <c r="D11" i="2"/>
  <c r="D14" i="2"/>
  <c r="D10" i="2"/>
  <c r="D19" i="2"/>
  <c r="D23" i="2"/>
  <c r="D9" i="2"/>
  <c r="H52" i="1"/>
  <c r="H51" i="1"/>
  <c r="G51" i="1"/>
  <c r="E51" i="1"/>
  <c r="F50" i="1"/>
  <c r="D50" i="1"/>
  <c r="C50" i="1"/>
  <c r="C51" i="1" s="1"/>
  <c r="B50" i="1"/>
  <c r="F49" i="1"/>
  <c r="D49" i="1"/>
  <c r="B49" i="1"/>
  <c r="B48" i="1"/>
  <c r="F46" i="1"/>
  <c r="D46" i="1"/>
  <c r="F43" i="1"/>
  <c r="D43" i="1"/>
  <c r="F42" i="1"/>
  <c r="D42" i="1"/>
  <c r="F41" i="1"/>
  <c r="D41" i="1"/>
  <c r="B41" i="1"/>
  <c r="F40" i="1"/>
  <c r="D40" i="1"/>
  <c r="B40" i="1"/>
  <c r="F39" i="1"/>
  <c r="D39" i="1"/>
  <c r="B39" i="1"/>
  <c r="F37" i="1"/>
  <c r="D37" i="1"/>
  <c r="F36" i="1"/>
  <c r="D36" i="1"/>
  <c r="B36" i="1"/>
  <c r="F34" i="1"/>
  <c r="D34" i="1"/>
  <c r="F32" i="1"/>
  <c r="D32" i="1"/>
  <c r="B32" i="1"/>
  <c r="F31" i="1"/>
  <c r="D31" i="1"/>
  <c r="B31" i="1"/>
  <c r="F30" i="1"/>
  <c r="D30" i="1"/>
  <c r="B30" i="1"/>
  <c r="F29" i="1"/>
  <c r="D29" i="1"/>
  <c r="F28" i="1"/>
  <c r="D28" i="1"/>
  <c r="F27" i="1"/>
  <c r="D27" i="1"/>
  <c r="B27" i="1"/>
  <c r="F26" i="1"/>
  <c r="D26" i="1"/>
  <c r="B26" i="1"/>
  <c r="F25" i="1"/>
  <c r="D25" i="1"/>
  <c r="B25" i="1"/>
  <c r="F24" i="1"/>
  <c r="D24" i="1"/>
  <c r="B24" i="1"/>
  <c r="F23" i="1"/>
  <c r="D23" i="1"/>
  <c r="H22" i="1"/>
  <c r="G22" i="1"/>
  <c r="G52" i="1" s="1"/>
  <c r="E22" i="1"/>
  <c r="F20" i="1"/>
  <c r="D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C22" i="1" s="1"/>
  <c r="B16" i="1"/>
  <c r="B22" i="1" s="1"/>
  <c r="H14" i="1"/>
  <c r="G14" i="1"/>
  <c r="E14" i="1"/>
  <c r="F13" i="1"/>
  <c r="D13" i="1"/>
  <c r="C13" i="1"/>
  <c r="B13" i="1"/>
  <c r="F11" i="1"/>
  <c r="D11" i="1"/>
  <c r="D14" i="1" s="1"/>
  <c r="B11" i="1"/>
  <c r="F10" i="1"/>
  <c r="F14" i="1" s="1"/>
  <c r="D10" i="1"/>
  <c r="C10" i="1"/>
  <c r="B10" i="1"/>
  <c r="G53" i="1" l="1"/>
  <c r="G55" i="1" s="1"/>
  <c r="D38" i="2"/>
  <c r="D45" i="2" s="1"/>
  <c r="G14" i="3"/>
  <c r="D51" i="1"/>
  <c r="D52" i="1" s="1"/>
  <c r="D53" i="1" s="1"/>
  <c r="D55" i="1" s="1"/>
  <c r="I14" i="3"/>
  <c r="F51" i="1"/>
  <c r="F52" i="1" s="1"/>
  <c r="F53" i="1" s="1"/>
  <c r="F55" i="1" s="1"/>
  <c r="E52" i="1"/>
  <c r="E53" i="1" s="1"/>
  <c r="E55" i="1" s="1"/>
  <c r="J14" i="3"/>
  <c r="B14" i="1"/>
  <c r="D22" i="1"/>
  <c r="E45" i="2"/>
  <c r="K14" i="3"/>
  <c r="C14" i="1"/>
  <c r="F22" i="1"/>
  <c r="F45" i="2"/>
  <c r="L14" i="3"/>
  <c r="B51" i="1"/>
  <c r="B52" i="1" s="1"/>
  <c r="C52" i="1"/>
  <c r="H53" i="1"/>
  <c r="H55" i="1" s="1"/>
  <c r="G45" i="2"/>
  <c r="C53" i="1" l="1"/>
  <c r="C55" i="1" s="1"/>
  <c r="B53" i="1"/>
  <c r="B55" i="1" s="1"/>
</calcChain>
</file>

<file path=xl/comments1.xml><?xml version="1.0" encoding="utf-8"?>
<comments xmlns="http://schemas.openxmlformats.org/spreadsheetml/2006/main">
  <authors>
    <author>Pamela M. Gumbs</author>
    <author>Lynnicea</author>
  </authors>
  <commentList>
    <comment ref="C13" authorId="0" shapeId="0">
      <text>
        <r>
          <rPr>
            <b/>
            <sz val="9"/>
            <rFont val="Tahoma"/>
            <family val="2"/>
          </rPr>
          <t>Pamela M. Gumbs:</t>
        </r>
        <r>
          <rPr>
            <sz val="9"/>
            <rFont val="Tahoma"/>
            <family val="2"/>
          </rPr>
          <t xml:space="preserve">
Includes initial request for new spending of $413,174.00
</t>
        </r>
      </text>
    </comment>
    <comment ref="F16" authorId="1" shapeId="0">
      <text>
        <r>
          <rPr>
            <b/>
            <sz val="9"/>
            <rFont val="Times New Roman"/>
            <family val="1"/>
          </rPr>
          <t>Lynnicea:</t>
        </r>
        <r>
          <rPr>
            <sz val="9"/>
            <rFont val="Times New Roman"/>
            <family val="1"/>
          </rPr>
          <t xml:space="preserve">
Please note the Heads of Department are also full time Faculty </t>
        </r>
      </text>
    </comment>
    <comment ref="F43" authorId="1" shapeId="0">
      <text>
        <r>
          <rPr>
            <b/>
            <sz val="9"/>
            <rFont val="Times New Roman"/>
            <family val="1"/>
          </rPr>
          <t>Lynnicea:</t>
        </r>
        <r>
          <rPr>
            <sz val="9"/>
            <rFont val="Times New Roman"/>
            <family val="1"/>
          </rPr>
          <t xml:space="preserve">
New Spending Loan</t>
        </r>
      </text>
    </comment>
    <comment ref="F50" authorId="1" shapeId="0">
      <text>
        <r>
          <rPr>
            <b/>
            <sz val="9"/>
            <rFont val="Times New Roman"/>
            <family val="1"/>
          </rPr>
          <t xml:space="preserve">Lynnicea
</t>
        </r>
        <r>
          <rPr>
            <sz val="9"/>
            <rFont val="Times New Roman"/>
            <family val="1"/>
          </rPr>
          <t>Projected Cost to mvoe from George Hill to Long Path.</t>
        </r>
      </text>
    </comment>
  </commentList>
</comments>
</file>

<file path=xl/sharedStrings.xml><?xml version="1.0" encoding="utf-8"?>
<sst xmlns="http://schemas.openxmlformats.org/spreadsheetml/2006/main" count="149" uniqueCount="134">
  <si>
    <t>GOVERNMENT OF THE ANGUILLA</t>
  </si>
  <si>
    <t xml:space="preserve">STATUTORY BODY INCOME AND EXPENDITURE DETAILED SHEET </t>
  </si>
  <si>
    <t xml:space="preserve">ANGUILLA COMMUNITY COLLEGE </t>
  </si>
  <si>
    <t>2020</t>
  </si>
  <si>
    <t>Audited Actuals</t>
  </si>
  <si>
    <t xml:space="preserve">Approved Budget </t>
  </si>
  <si>
    <t xml:space="preserve">Revised Budget </t>
  </si>
  <si>
    <t>Forecast Outturn</t>
  </si>
  <si>
    <t xml:space="preserve">Estimate </t>
  </si>
  <si>
    <t>Forward Estimate</t>
  </si>
  <si>
    <t>Description</t>
  </si>
  <si>
    <t xml:space="preserve">Outturn </t>
  </si>
  <si>
    <t>Fees and Charges</t>
  </si>
  <si>
    <t>Interest Income</t>
  </si>
  <si>
    <t>Release of Government Grants</t>
  </si>
  <si>
    <t>Subvention from GOA</t>
  </si>
  <si>
    <t xml:space="preserve">TOTAL INCOME </t>
  </si>
  <si>
    <t xml:space="preserve">Salaries - Admin </t>
  </si>
  <si>
    <t xml:space="preserve">Salaries - Faculty </t>
  </si>
  <si>
    <t>Allowances</t>
  </si>
  <si>
    <t>Pension and Gratuities  and Medical</t>
  </si>
  <si>
    <t>Social Security Contributions</t>
  </si>
  <si>
    <t>Interim Stabilization Levy</t>
  </si>
  <si>
    <t>Employment Costs</t>
  </si>
  <si>
    <t>Directors' fees and expenses</t>
  </si>
  <si>
    <t>Local Travel and Subsistence</t>
  </si>
  <si>
    <t>International Travel and Subsistence</t>
  </si>
  <si>
    <t xml:space="preserve"> </t>
  </si>
  <si>
    <t>Utilities</t>
  </si>
  <si>
    <t>Communications Expenses</t>
  </si>
  <si>
    <t>Office Expenses</t>
  </si>
  <si>
    <t>Rental of Assets</t>
  </si>
  <si>
    <t>Maintenance Expenses</t>
  </si>
  <si>
    <t>Subscriptions, Periodicals, Books, etc.</t>
  </si>
  <si>
    <t>Other Supplies, Materials and Equipment</t>
  </si>
  <si>
    <t>Uniforms &amp; Protective Clothing</t>
  </si>
  <si>
    <t>Professional and Consultancy Services</t>
  </si>
  <si>
    <t>Computer License Software and Hardware Maintenance</t>
  </si>
  <si>
    <t>Insurance</t>
  </si>
  <si>
    <t>Hosting and Entertainment</t>
  </si>
  <si>
    <t>Training</t>
  </si>
  <si>
    <t>Advertising and Promotions</t>
  </si>
  <si>
    <t xml:space="preserve">Industry specific costs - ACADEMIC EXPENSE </t>
  </si>
  <si>
    <t xml:space="preserve">Zenaida Café </t>
  </si>
  <si>
    <t xml:space="preserve">CDB Expense </t>
  </si>
  <si>
    <t xml:space="preserve">Interest Expense </t>
  </si>
  <si>
    <t xml:space="preserve">Cost of Operating New Campus </t>
  </si>
  <si>
    <t>Subscriptions and Contributions</t>
  </si>
  <si>
    <t>Auditing and Accounting</t>
  </si>
  <si>
    <t>Board Expenses</t>
  </si>
  <si>
    <t>Depreciation and Amortization</t>
  </si>
  <si>
    <t>Bank Charges</t>
  </si>
  <si>
    <t>Other Operating Expenses</t>
  </si>
  <si>
    <t>Operating Costs</t>
  </si>
  <si>
    <t>Total Expenditure</t>
  </si>
  <si>
    <t>Operating Deficit/Surplus before Capital Projects</t>
  </si>
  <si>
    <t xml:space="preserve">- 2021 Projected Loan Payments to CDB. This amount is Deducted from the Subvention </t>
  </si>
  <si>
    <t>Operating Deficit /Surplus after Capital Projects</t>
  </si>
  <si>
    <t>GOVERNMENT OF ANGUILLA</t>
  </si>
  <si>
    <t>Estimate of Human Resources for 2021</t>
  </si>
  <si>
    <t>2021</t>
  </si>
  <si>
    <t>Grade</t>
  </si>
  <si>
    <t xml:space="preserve">Human </t>
  </si>
  <si>
    <t>Payroll Cost</t>
  </si>
  <si>
    <t>Resources</t>
  </si>
  <si>
    <t>Estimate</t>
  </si>
  <si>
    <t xml:space="preserve">PRESIDENT </t>
  </si>
  <si>
    <t>CUSTODIAN</t>
  </si>
  <si>
    <t xml:space="preserve">HR OFFICER </t>
  </si>
  <si>
    <t xml:space="preserve">DEAN STUDIES </t>
  </si>
  <si>
    <t xml:space="preserve">DIRECTOR OF HUMANITIES &amp; EDUCATION </t>
  </si>
  <si>
    <t>DIRECTOR OF HOSPITALITY &amp; TRAINING</t>
  </si>
  <si>
    <t xml:space="preserve">HEAD OF BUSINESS </t>
  </si>
  <si>
    <t xml:space="preserve">CHEF DE PARTIE/TRAINER </t>
  </si>
  <si>
    <t>COORDINATOR ACE</t>
  </si>
  <si>
    <t xml:space="preserve">DIRECTOR OF FINANCE AND ADMINISTRATION </t>
  </si>
  <si>
    <t xml:space="preserve">FINANCE OFFICER </t>
  </si>
  <si>
    <t xml:space="preserve">CASHIER </t>
  </si>
  <si>
    <t>REGISTRAR</t>
  </si>
  <si>
    <t xml:space="preserve">ADMINISTRATIVE ASSITANT TO THE DEAN &amp; REGISTRAR </t>
  </si>
  <si>
    <t xml:space="preserve">SPECIAL ASSISTANT TO THE DEAN </t>
  </si>
  <si>
    <t xml:space="preserve">Director of Technical Studies </t>
  </si>
  <si>
    <t>Salary Staff</t>
  </si>
  <si>
    <t xml:space="preserve">Temporary Cleaner </t>
  </si>
  <si>
    <t>Waged Staff</t>
  </si>
  <si>
    <t>Programme and Performance Indicators for 2021</t>
  </si>
  <si>
    <t>STATUTORY BODY SUMMARY</t>
  </si>
  <si>
    <t>MISSION:</t>
  </si>
  <si>
    <t>[INSERT BRIEF MISSION STATEMENT]</t>
  </si>
  <si>
    <t>STRATEGIC PRIORITIES:</t>
  </si>
  <si>
    <t>[Insert list of strategic proiorities]</t>
  </si>
  <si>
    <t xml:space="preserve"> EXPENDITURE - BY PROGRAMME</t>
  </si>
  <si>
    <t>Programme/Department</t>
  </si>
  <si>
    <t>2020 Approved Budget</t>
  </si>
  <si>
    <t xml:space="preserve">2020 Revised Budget </t>
  </si>
  <si>
    <t>2020 Forecast Outturn</t>
  </si>
  <si>
    <t>2021 Budget Estimates</t>
  </si>
  <si>
    <t>2022 Forward Estimates</t>
  </si>
  <si>
    <t>2023 Forward Estimates</t>
  </si>
  <si>
    <t>Operating Expenditure</t>
  </si>
  <si>
    <t xml:space="preserve">Capital Expenditure </t>
  </si>
  <si>
    <t>TOTAL AGENCY BUDGET CEILING</t>
  </si>
  <si>
    <t>STATUTORY BODY STAFFING RESOURCES – Actual Number of Staff by Category</t>
  </si>
  <si>
    <t>Executive/Managerial</t>
  </si>
  <si>
    <t>Technical/Front Line Services</t>
  </si>
  <si>
    <t>Administrative Support</t>
  </si>
  <si>
    <t>Wages Staff</t>
  </si>
  <si>
    <t xml:space="preserve">TOTAL AGENCY STAFFING </t>
  </si>
  <si>
    <t>PROGRAMME PERFORMANCE INFORMATION</t>
  </si>
  <si>
    <t>KEY PROGRAMME STRATEGIES FOR 2021</t>
  </si>
  <si>
    <t>ACHIEVEMENTS/PROGRESS IN 2020</t>
  </si>
  <si>
    <t>[INSERT PROGRAMME STRATEGY]</t>
  </si>
  <si>
    <t>[INSERT ACHEIVEMENT]</t>
  </si>
  <si>
    <t>KEY PROGRAMME STRATEGIES 2021 (Aimed at improving programme performance)</t>
  </si>
  <si>
    <t>[INSERT KEY STRATEGY 1]</t>
  </si>
  <si>
    <t>[INSERT KEY STRATEGY 2]</t>
  </si>
  <si>
    <t>[INSERT KEY STRATEGY 3]</t>
  </si>
  <si>
    <t>KEY PERFORMANCE INDICATORS</t>
  </si>
  <si>
    <t>2019 Actual</t>
  </si>
  <si>
    <t>2020 Planned</t>
  </si>
  <si>
    <t>2020 Revised</t>
  </si>
  <si>
    <t>2020 Outturn</t>
  </si>
  <si>
    <t>2021 Estimate</t>
  </si>
  <si>
    <t>2022 Estimate</t>
  </si>
  <si>
    <t>2023 Estimate</t>
  </si>
  <si>
    <t xml:space="preserve">Output Indicators (the quantity of output or services delivered by the programme) </t>
  </si>
  <si>
    <t>KPI 1 [INSERT DETAILS HERE]</t>
  </si>
  <si>
    <t>KPI 2 [INSERT DETAILS HERE]</t>
  </si>
  <si>
    <t>KPI 3 [INSERT DETAILS HERE]</t>
  </si>
  <si>
    <t>KPI 4 [INSERT DETAILS HERE]</t>
  </si>
  <si>
    <t>Outcome Indicators (the planned or achieved outcomes or impacts of the programme and/or effectiveness in achieving programme objectives)</t>
  </si>
  <si>
    <t>[INSERT INDICIATOR HERE]</t>
  </si>
  <si>
    <t>Anguilla Community College</t>
  </si>
  <si>
    <t xml:space="preserve">Capital Projects- Loan Payment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</si>
</sst>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_(* #,##0.0_);_(* \(#,##0.0\);_(* &quot;-&quot;?_);_(@_)"/>
    <numFmt numFmtId="169" formatCode="_(&quot;$&quot;* #,##0_);_(&quot;$&quot;* \(#,##0\);_(&quot;$&quot;* &quot;-&quot;??_);_(@_)"/>
    <numFmt numFmtId="170" formatCode="[$-409]d\-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0">
    <xf numFmtId="0" fontId="0" fillId="0" borderId="0"/>
    <xf numFmtId="0" fontId="1" fillId="0" borderId="0"/>
    <xf numFmtId="0" fontId="4" fillId="0" borderId="0"/>
    <xf numFmtId="0" fontId="4" fillId="0" borderId="0"/>
    <xf numFmtId="166" fontId="1" fillId="0" borderId="0" applyFont="0" applyFill="0" applyBorder="0" applyAlignment="0" applyProtection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4" fillId="0" borderId="0"/>
    <xf numFmtId="0" fontId="1" fillId="0" borderId="0"/>
    <xf numFmtId="0" fontId="14" fillId="0" borderId="0"/>
    <xf numFmtId="170" fontId="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1" quotePrefix="1" applyFont="1" applyBorder="1" applyAlignment="1"/>
    <xf numFmtId="0" fontId="3" fillId="0" borderId="0" xfId="1" applyFont="1" applyBorder="1" applyAlignment="1"/>
    <xf numFmtId="0" fontId="4" fillId="0" borderId="0" xfId="2"/>
    <xf numFmtId="0" fontId="5" fillId="2" borderId="2" xfId="2" applyFont="1" applyFill="1" applyBorder="1" applyAlignment="1" applyProtection="1">
      <alignment horizontal="center"/>
    </xf>
    <xf numFmtId="0" fontId="5" fillId="2" borderId="2" xfId="2" applyNumberFormat="1" applyFont="1" applyFill="1" applyBorder="1" applyAlignment="1" applyProtection="1">
      <alignment horizontal="center"/>
    </xf>
    <xf numFmtId="0" fontId="5" fillId="2" borderId="6" xfId="2" applyFont="1" applyFill="1" applyBorder="1" applyAlignment="1" applyProtection="1">
      <alignment horizontal="center"/>
    </xf>
    <xf numFmtId="0" fontId="6" fillId="0" borderId="13" xfId="3" applyFont="1" applyBorder="1"/>
    <xf numFmtId="167" fontId="6" fillId="0" borderId="14" xfId="4" applyNumberFormat="1" applyFont="1" applyFill="1" applyBorder="1" applyProtection="1"/>
    <xf numFmtId="167" fontId="6" fillId="0" borderId="9" xfId="4" applyNumberFormat="1" applyFont="1" applyFill="1" applyBorder="1" applyProtection="1"/>
    <xf numFmtId="0" fontId="7" fillId="0" borderId="0" xfId="2" applyFont="1"/>
    <xf numFmtId="0" fontId="6" fillId="0" borderId="13" xfId="3" applyFont="1" applyBorder="1" applyAlignment="1" applyProtection="1">
      <alignment wrapText="1"/>
    </xf>
    <xf numFmtId="0" fontId="3" fillId="2" borderId="15" xfId="3" applyFont="1" applyFill="1" applyBorder="1" applyAlignment="1" applyProtection="1">
      <alignment wrapText="1"/>
    </xf>
    <xf numFmtId="167" fontId="3" fillId="2" borderId="16" xfId="4" applyNumberFormat="1" applyFont="1" applyFill="1" applyBorder="1" applyProtection="1"/>
    <xf numFmtId="167" fontId="3" fillId="2" borderId="17" xfId="4" applyNumberFormat="1" applyFont="1" applyFill="1" applyBorder="1" applyProtection="1"/>
    <xf numFmtId="167" fontId="3" fillId="2" borderId="18" xfId="4" applyNumberFormat="1" applyFont="1" applyFill="1" applyBorder="1" applyProtection="1"/>
    <xf numFmtId="0" fontId="0" fillId="0" borderId="0" xfId="2" applyFont="1"/>
    <xf numFmtId="167" fontId="6" fillId="3" borderId="14" xfId="4" applyNumberFormat="1" applyFont="1" applyFill="1" applyBorder="1" applyProtection="1"/>
    <xf numFmtId="167" fontId="3" fillId="0" borderId="14" xfId="4" applyNumberFormat="1" applyFont="1" applyFill="1" applyBorder="1" applyProtection="1"/>
    <xf numFmtId="0" fontId="3" fillId="2" borderId="19" xfId="3" applyFont="1" applyFill="1" applyBorder="1" applyAlignment="1" applyProtection="1">
      <alignment wrapText="1"/>
    </xf>
    <xf numFmtId="167" fontId="3" fillId="2" borderId="20" xfId="4" applyNumberFormat="1" applyFont="1" applyFill="1" applyBorder="1" applyProtection="1"/>
    <xf numFmtId="167" fontId="3" fillId="2" borderId="21" xfId="4" applyNumberFormat="1" applyFont="1" applyFill="1" applyBorder="1" applyProtection="1"/>
    <xf numFmtId="0" fontId="3" fillId="5" borderId="15" xfId="3" applyFont="1" applyFill="1" applyBorder="1" applyAlignment="1" applyProtection="1">
      <alignment wrapText="1"/>
    </xf>
    <xf numFmtId="167" fontId="3" fillId="5" borderId="16" xfId="4" applyNumberFormat="1" applyFont="1" applyFill="1" applyBorder="1" applyProtection="1"/>
    <xf numFmtId="167" fontId="3" fillId="5" borderId="18" xfId="4" applyNumberFormat="1" applyFont="1" applyFill="1" applyBorder="1" applyProtection="1"/>
    <xf numFmtId="167" fontId="3" fillId="6" borderId="22" xfId="4" applyNumberFormat="1" applyFont="1" applyFill="1" applyBorder="1" applyAlignment="1" applyProtection="1">
      <alignment wrapText="1"/>
    </xf>
    <xf numFmtId="167" fontId="3" fillId="6" borderId="16" xfId="4" applyNumberFormat="1" applyFont="1" applyFill="1" applyBorder="1" applyProtection="1"/>
    <xf numFmtId="167" fontId="3" fillId="6" borderId="18" xfId="4" applyNumberFormat="1" applyFont="1" applyFill="1" applyBorder="1" applyProtection="1"/>
    <xf numFmtId="167" fontId="4" fillId="0" borderId="0" xfId="4" applyNumberFormat="1" applyFont="1"/>
    <xf numFmtId="167" fontId="3" fillId="4" borderId="22" xfId="4" applyNumberFormat="1" applyFont="1" applyFill="1" applyBorder="1" applyAlignment="1" applyProtection="1">
      <alignment wrapText="1"/>
    </xf>
    <xf numFmtId="167" fontId="3" fillId="4" borderId="16" xfId="4" applyNumberFormat="1" applyFont="1" applyFill="1" applyBorder="1" applyProtection="1"/>
    <xf numFmtId="167" fontId="3" fillId="0" borderId="16" xfId="4" applyNumberFormat="1" applyFont="1" applyFill="1" applyBorder="1" applyProtection="1"/>
    <xf numFmtId="167" fontId="3" fillId="4" borderId="18" xfId="4" applyNumberFormat="1" applyFont="1" applyFill="1" applyBorder="1" applyProtection="1"/>
    <xf numFmtId="167" fontId="4" fillId="4" borderId="0" xfId="4" quotePrefix="1" applyNumberFormat="1" applyFont="1" applyFill="1"/>
    <xf numFmtId="167" fontId="4" fillId="4" borderId="0" xfId="4" applyNumberFormat="1" applyFont="1" applyFill="1"/>
    <xf numFmtId="167" fontId="3" fillId="6" borderId="15" xfId="4" applyNumberFormat="1" applyFont="1" applyFill="1" applyBorder="1" applyAlignment="1" applyProtection="1">
      <alignment wrapText="1"/>
    </xf>
    <xf numFmtId="0" fontId="1" fillId="0" borderId="0" xfId="5"/>
    <xf numFmtId="0" fontId="6" fillId="0" borderId="0" xfId="5" applyFont="1" applyBorder="1" applyAlignment="1">
      <alignment horizontal="center"/>
    </xf>
    <xf numFmtId="0" fontId="12" fillId="2" borderId="1" xfId="6" applyFont="1" applyFill="1" applyBorder="1" applyAlignment="1">
      <alignment horizontal="left" vertical="center"/>
    </xf>
    <xf numFmtId="0" fontId="12" fillId="2" borderId="23" xfId="6" applyFont="1" applyFill="1" applyBorder="1" applyAlignment="1">
      <alignment vertical="center"/>
    </xf>
    <xf numFmtId="0" fontId="12" fillId="2" borderId="23" xfId="6" applyFont="1" applyFill="1" applyBorder="1" applyAlignment="1">
      <alignment horizontal="center" vertical="center"/>
    </xf>
    <xf numFmtId="0" fontId="12" fillId="2" borderId="7" xfId="6" applyFont="1" applyFill="1" applyBorder="1" applyAlignment="1">
      <alignment horizontal="left" vertical="center"/>
    </xf>
    <xf numFmtId="0" fontId="12" fillId="7" borderId="14" xfId="6" applyFont="1" applyFill="1" applyBorder="1" applyAlignment="1">
      <alignment vertical="center"/>
    </xf>
    <xf numFmtId="0" fontId="12" fillId="7" borderId="14" xfId="6" applyFont="1" applyFill="1" applyBorder="1" applyAlignment="1">
      <alignment horizontal="center" vertical="center"/>
    </xf>
    <xf numFmtId="164" fontId="12" fillId="7" borderId="8" xfId="6" applyNumberFormat="1" applyFont="1" applyFill="1" applyBorder="1" applyAlignment="1">
      <alignment horizontal="center"/>
    </xf>
    <xf numFmtId="164" fontId="12" fillId="7" borderId="25" xfId="6" applyNumberFormat="1" applyFont="1" applyFill="1" applyBorder="1" applyAlignment="1">
      <alignment horizontal="center"/>
    </xf>
    <xf numFmtId="164" fontId="12" fillId="7" borderId="26" xfId="6" applyNumberFormat="1" applyFont="1" applyFill="1" applyBorder="1" applyAlignment="1">
      <alignment horizontal="center"/>
    </xf>
    <xf numFmtId="0" fontId="12" fillId="2" borderId="10" xfId="6" applyFont="1" applyFill="1" applyBorder="1" applyAlignment="1">
      <alignment horizontal="left" vertical="center"/>
    </xf>
    <xf numFmtId="0" fontId="12" fillId="2" borderId="11" xfId="6" applyFont="1" applyFill="1" applyBorder="1" applyAlignment="1">
      <alignment vertical="center"/>
    </xf>
    <xf numFmtId="0" fontId="12" fillId="2" borderId="11" xfId="6" applyFont="1" applyFill="1" applyBorder="1" applyAlignment="1">
      <alignment horizontal="center" vertical="center"/>
    </xf>
    <xf numFmtId="164" fontId="12" fillId="7" borderId="11" xfId="6" applyNumberFormat="1" applyFont="1" applyFill="1" applyBorder="1" applyAlignment="1">
      <alignment horizontal="center"/>
    </xf>
    <xf numFmtId="164" fontId="12" fillId="7" borderId="27" xfId="6" applyNumberFormat="1" applyFont="1" applyFill="1" applyBorder="1" applyAlignment="1">
      <alignment horizontal="center"/>
    </xf>
    <xf numFmtId="164" fontId="12" fillId="7" borderId="10" xfId="6" applyNumberFormat="1" applyFont="1" applyFill="1" applyBorder="1" applyAlignment="1">
      <alignment horizontal="center"/>
    </xf>
    <xf numFmtId="0" fontId="4" fillId="0" borderId="7" xfId="6" applyFont="1" applyFill="1" applyBorder="1" applyAlignment="1">
      <alignment horizontal="left"/>
    </xf>
    <xf numFmtId="0" fontId="4" fillId="0" borderId="28" xfId="6" applyFont="1" applyFill="1" applyBorder="1"/>
    <xf numFmtId="0" fontId="1" fillId="0" borderId="29" xfId="5" applyBorder="1" applyAlignment="1">
      <alignment horizontal="center"/>
    </xf>
    <xf numFmtId="0" fontId="4" fillId="0" borderId="30" xfId="6" applyNumberFormat="1" applyFont="1" applyFill="1" applyBorder="1" applyAlignment="1">
      <alignment horizontal="center"/>
    </xf>
    <xf numFmtId="167" fontId="4" fillId="0" borderId="31" xfId="7" applyNumberFormat="1" applyFont="1" applyFill="1" applyBorder="1"/>
    <xf numFmtId="0" fontId="4" fillId="0" borderId="7" xfId="6" applyNumberFormat="1" applyFont="1" applyFill="1" applyBorder="1" applyAlignment="1">
      <alignment horizontal="center"/>
    </xf>
    <xf numFmtId="0" fontId="1" fillId="0" borderId="0" xfId="5" applyBorder="1"/>
    <xf numFmtId="0" fontId="1" fillId="0" borderId="32" xfId="5" applyBorder="1" applyAlignment="1">
      <alignment horizontal="center"/>
    </xf>
    <xf numFmtId="0" fontId="1" fillId="0" borderId="9" xfId="5" applyBorder="1"/>
    <xf numFmtId="0" fontId="1" fillId="0" borderId="0" xfId="5" applyFill="1" applyBorder="1"/>
    <xf numFmtId="0" fontId="1" fillId="0" borderId="32" xfId="5" applyFill="1" applyBorder="1" applyAlignment="1">
      <alignment horizontal="center"/>
    </xf>
    <xf numFmtId="168" fontId="1" fillId="0" borderId="0" xfId="5" applyNumberFormat="1"/>
    <xf numFmtId="0" fontId="4" fillId="0" borderId="30" xfId="5" applyFont="1" applyBorder="1" applyAlignment="1">
      <alignment horizontal="center"/>
    </xf>
    <xf numFmtId="167" fontId="4" fillId="0" borderId="31" xfId="7" applyNumberFormat="1" applyFont="1" applyBorder="1"/>
    <xf numFmtId="0" fontId="4" fillId="0" borderId="7" xfId="5" applyFont="1" applyBorder="1" applyAlignment="1">
      <alignment horizontal="center"/>
    </xf>
    <xf numFmtId="0" fontId="4" fillId="0" borderId="32" xfId="6" applyFont="1" applyFill="1" applyBorder="1" applyAlignment="1">
      <alignment horizontal="center"/>
    </xf>
    <xf numFmtId="0" fontId="4" fillId="0" borderId="30" xfId="5" applyFont="1" applyFill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167" fontId="4" fillId="0" borderId="31" xfId="7" applyNumberFormat="1" applyFont="1" applyFill="1" applyBorder="1" applyAlignment="1">
      <alignment horizontal="right"/>
    </xf>
    <xf numFmtId="0" fontId="12" fillId="8" borderId="33" xfId="6" applyFont="1" applyFill="1" applyBorder="1" applyAlignment="1">
      <alignment horizontal="left" vertical="center"/>
    </xf>
    <xf numFmtId="0" fontId="12" fillId="8" borderId="34" xfId="6" applyFont="1" applyFill="1" applyBorder="1" applyAlignment="1">
      <alignment vertical="center"/>
    </xf>
    <xf numFmtId="0" fontId="12" fillId="8" borderId="35" xfId="6" applyFont="1" applyFill="1" applyBorder="1" applyAlignment="1">
      <alignment horizontal="center" vertical="center"/>
    </xf>
    <xf numFmtId="166" fontId="12" fillId="8" borderId="36" xfId="7" applyFont="1" applyFill="1" applyBorder="1" applyAlignment="1">
      <alignment horizontal="center" vertical="center"/>
    </xf>
    <xf numFmtId="167" fontId="12" fillId="8" borderId="21" xfId="7" applyNumberFormat="1" applyFont="1" applyFill="1" applyBorder="1" applyAlignment="1">
      <alignment horizontal="right" vertical="center"/>
    </xf>
    <xf numFmtId="0" fontId="12" fillId="8" borderId="33" xfId="6" applyNumberFormat="1" applyFont="1" applyFill="1" applyBorder="1" applyAlignment="1">
      <alignment horizontal="center" vertical="center"/>
    </xf>
    <xf numFmtId="0" fontId="4" fillId="0" borderId="28" xfId="5" applyFont="1" applyBorder="1"/>
    <xf numFmtId="0" fontId="4" fillId="0" borderId="32" xfId="5" applyFont="1" applyBorder="1" applyAlignment="1">
      <alignment horizontal="center"/>
    </xf>
    <xf numFmtId="0" fontId="12" fillId="8" borderId="34" xfId="6" applyFont="1" applyFill="1" applyBorder="1" applyAlignment="1">
      <alignment horizontal="left" vertical="center"/>
    </xf>
    <xf numFmtId="0" fontId="12" fillId="8" borderId="36" xfId="6" applyNumberFormat="1" applyFont="1" applyFill="1" applyBorder="1" applyAlignment="1">
      <alignment horizontal="center" vertical="center"/>
    </xf>
    <xf numFmtId="0" fontId="12" fillId="2" borderId="37" xfId="6" applyFont="1" applyFill="1" applyBorder="1" applyAlignment="1">
      <alignment horizontal="left" vertical="center"/>
    </xf>
    <xf numFmtId="0" fontId="12" fillId="2" borderId="38" xfId="6" applyFont="1" applyFill="1" applyBorder="1" applyAlignment="1">
      <alignment horizontal="left" vertical="center"/>
    </xf>
    <xf numFmtId="0" fontId="12" fillId="2" borderId="39" xfId="6" applyFont="1" applyFill="1" applyBorder="1" applyAlignment="1">
      <alignment horizontal="center" vertical="center"/>
    </xf>
    <xf numFmtId="0" fontId="12" fillId="2" borderId="40" xfId="6" applyNumberFormat="1" applyFont="1" applyFill="1" applyBorder="1" applyAlignment="1">
      <alignment horizontal="center" vertical="center"/>
    </xf>
    <xf numFmtId="167" fontId="12" fillId="2" borderId="41" xfId="7" applyNumberFormat="1" applyFont="1" applyFill="1" applyBorder="1" applyAlignment="1">
      <alignment horizontal="right" vertical="center"/>
    </xf>
    <xf numFmtId="0" fontId="12" fillId="2" borderId="37" xfId="6" applyNumberFormat="1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horizontal="left"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0" xfId="6" applyNumberFormat="1" applyFont="1" applyFill="1" applyBorder="1" applyAlignment="1">
      <alignment horizontal="center" vertical="center"/>
    </xf>
    <xf numFmtId="167" fontId="12" fillId="0" borderId="0" xfId="7" applyNumberFormat="1" applyFont="1" applyFill="1" applyBorder="1" applyAlignment="1">
      <alignment horizontal="right" vertical="center"/>
    </xf>
    <xf numFmtId="0" fontId="1" fillId="0" borderId="0" xfId="5" applyAlignment="1">
      <alignment horizontal="center"/>
    </xf>
    <xf numFmtId="0" fontId="6" fillId="0" borderId="0" xfId="5" applyFont="1" applyBorder="1" applyAlignment="1">
      <alignment horizontal="left"/>
    </xf>
    <xf numFmtId="49" fontId="13" fillId="0" borderId="0" xfId="5" applyNumberFormat="1" applyFont="1" applyBorder="1"/>
    <xf numFmtId="49" fontId="2" fillId="0" borderId="0" xfId="5" applyNumberFormat="1" applyFont="1" applyBorder="1"/>
    <xf numFmtId="49" fontId="12" fillId="0" borderId="0" xfId="5" applyNumberFormat="1" applyFont="1" applyBorder="1"/>
    <xf numFmtId="0" fontId="4" fillId="0" borderId="0" xfId="5" applyFont="1" applyBorder="1"/>
    <xf numFmtId="0" fontId="12" fillId="8" borderId="49" xfId="5" applyFont="1" applyFill="1" applyBorder="1" applyAlignment="1" applyProtection="1">
      <alignment horizontal="center" vertical="top" wrapText="1"/>
    </xf>
    <xf numFmtId="0" fontId="12" fillId="8" borderId="50" xfId="5" applyFont="1" applyFill="1" applyBorder="1" applyAlignment="1" applyProtection="1">
      <alignment horizontal="center" vertical="top" wrapText="1"/>
    </xf>
    <xf numFmtId="0" fontId="12" fillId="8" borderId="51" xfId="5" applyFont="1" applyFill="1" applyBorder="1" applyAlignment="1" applyProtection="1">
      <alignment horizontal="center" vertical="top" wrapText="1"/>
    </xf>
    <xf numFmtId="169" fontId="4" fillId="0" borderId="0" xfId="8" applyNumberFormat="1" applyFont="1" applyFill="1" applyBorder="1" applyAlignment="1" applyProtection="1">
      <alignment vertical="top" wrapText="1"/>
      <protection locked="0"/>
    </xf>
    <xf numFmtId="169" fontId="4" fillId="0" borderId="48" xfId="8" applyNumberFormat="1" applyFont="1" applyFill="1" applyBorder="1" applyAlignment="1" applyProtection="1">
      <alignment vertical="top" wrapText="1"/>
      <protection locked="0"/>
    </xf>
    <xf numFmtId="169" fontId="4" fillId="0" borderId="9" xfId="8" applyNumberFormat="1" applyFont="1" applyFill="1" applyBorder="1" applyAlignment="1" applyProtection="1">
      <alignment vertical="top" wrapText="1"/>
      <protection locked="0"/>
    </xf>
    <xf numFmtId="169" fontId="12" fillId="9" borderId="0" xfId="8" applyNumberFormat="1" applyFont="1" applyFill="1" applyBorder="1" applyAlignment="1" applyProtection="1">
      <alignment vertical="top" wrapText="1"/>
    </xf>
    <xf numFmtId="169" fontId="12" fillId="9" borderId="9" xfId="8" applyNumberFormat="1" applyFont="1" applyFill="1" applyBorder="1" applyAlignment="1" applyProtection="1">
      <alignment vertical="top" wrapText="1"/>
    </xf>
    <xf numFmtId="0" fontId="4" fillId="0" borderId="0" xfId="5" applyFont="1" applyFill="1" applyBorder="1" applyAlignment="1" applyProtection="1">
      <alignment vertical="top" wrapText="1"/>
      <protection locked="0"/>
    </xf>
    <xf numFmtId="0" fontId="4" fillId="9" borderId="44" xfId="5" applyFont="1" applyFill="1" applyBorder="1" applyAlignment="1" applyProtection="1">
      <alignment vertical="top" wrapText="1"/>
    </xf>
    <xf numFmtId="0" fontId="4" fillId="9" borderId="45" xfId="5" applyFont="1" applyFill="1" applyBorder="1" applyAlignment="1" applyProtection="1">
      <alignment vertical="top" wrapText="1"/>
    </xf>
    <xf numFmtId="0" fontId="12" fillId="8" borderId="44" xfId="5" applyFont="1" applyFill="1" applyBorder="1" applyAlignment="1" applyProtection="1">
      <alignment horizontal="center" vertical="top" wrapText="1"/>
    </xf>
    <xf numFmtId="0" fontId="12" fillId="8" borderId="45" xfId="5" applyFont="1" applyFill="1" applyBorder="1" applyAlignment="1" applyProtection="1">
      <alignment horizontal="center" vertical="top" wrapText="1"/>
    </xf>
    <xf numFmtId="0" fontId="4" fillId="0" borderId="0" xfId="5" applyFont="1" applyFill="1" applyBorder="1" applyAlignment="1" applyProtection="1">
      <alignment vertical="top" wrapText="1"/>
    </xf>
    <xf numFmtId="0" fontId="4" fillId="0" borderId="9" xfId="5" applyFont="1" applyFill="1" applyBorder="1" applyAlignment="1" applyProtection="1">
      <alignment vertical="top" wrapText="1"/>
    </xf>
    <xf numFmtId="0" fontId="4" fillId="0" borderId="9" xfId="5" applyFont="1" applyFill="1" applyBorder="1" applyAlignment="1" applyProtection="1">
      <alignment vertical="top" wrapText="1"/>
      <protection locked="0"/>
    </xf>
    <xf numFmtId="0" fontId="4" fillId="0" borderId="0" xfId="5" applyFont="1" applyFill="1" applyBorder="1"/>
    <xf numFmtId="0" fontId="4" fillId="0" borderId="9" xfId="5" applyFont="1" applyFill="1" applyBorder="1"/>
    <xf numFmtId="10" fontId="4" fillId="0" borderId="0" xfId="5" applyNumberFormat="1" applyFont="1" applyFill="1" applyBorder="1" applyAlignment="1" applyProtection="1">
      <alignment vertical="top" wrapText="1"/>
    </xf>
    <xf numFmtId="10" fontId="4" fillId="0" borderId="9" xfId="5" applyNumberFormat="1" applyFont="1" applyFill="1" applyBorder="1" applyAlignment="1" applyProtection="1">
      <alignment vertical="top" wrapText="1"/>
    </xf>
    <xf numFmtId="10" fontId="4" fillId="0" borderId="0" xfId="5" applyNumberFormat="1" applyFont="1" applyFill="1" applyBorder="1" applyAlignment="1" applyProtection="1">
      <alignment vertical="top" wrapText="1"/>
      <protection locked="0"/>
    </xf>
    <xf numFmtId="10" fontId="4" fillId="0" borderId="9" xfId="5" applyNumberFormat="1" applyFont="1" applyFill="1" applyBorder="1" applyAlignment="1" applyProtection="1">
      <alignment vertical="top" wrapText="1"/>
      <protection locked="0"/>
    </xf>
    <xf numFmtId="10" fontId="4" fillId="0" borderId="57" xfId="5" applyNumberFormat="1" applyFont="1" applyFill="1" applyBorder="1" applyAlignment="1">
      <alignment vertical="top" wrapText="1"/>
    </xf>
    <xf numFmtId="10" fontId="4" fillId="0" borderId="57" xfId="5" applyNumberFormat="1" applyFont="1" applyFill="1" applyBorder="1" applyAlignment="1">
      <alignment vertical="top"/>
    </xf>
    <xf numFmtId="10" fontId="4" fillId="0" borderId="12" xfId="5" applyNumberFormat="1" applyFont="1" applyFill="1" applyBorder="1" applyAlignment="1">
      <alignment vertical="top"/>
    </xf>
    <xf numFmtId="0" fontId="4" fillId="0" borderId="0" xfId="5" applyFont="1"/>
    <xf numFmtId="0" fontId="5" fillId="2" borderId="8" xfId="2" applyFont="1" applyFill="1" applyBorder="1" applyAlignment="1" applyProtection="1">
      <alignment horizontal="center"/>
    </xf>
    <xf numFmtId="0" fontId="5" fillId="2" borderId="11" xfId="2" applyFont="1" applyFill="1" applyBorder="1" applyAlignment="1" applyProtection="1">
      <alignment horizontal="center"/>
    </xf>
    <xf numFmtId="0" fontId="5" fillId="2" borderId="8" xfId="2" applyFont="1" applyFill="1" applyBorder="1" applyAlignment="1" applyProtection="1">
      <alignment horizontal="center" wrapText="1"/>
    </xf>
    <xf numFmtId="0" fontId="5" fillId="2" borderId="11" xfId="2" applyFont="1" applyFill="1" applyBorder="1" applyAlignment="1" applyProtection="1">
      <alignment horizontal="center" wrapText="1"/>
    </xf>
    <xf numFmtId="0" fontId="5" fillId="2" borderId="9" xfId="2" applyFont="1" applyFill="1" applyBorder="1" applyAlignment="1" applyProtection="1">
      <alignment horizontal="center" wrapText="1"/>
    </xf>
    <xf numFmtId="0" fontId="5" fillId="2" borderId="12" xfId="2" applyFont="1" applyFill="1" applyBorder="1" applyAlignment="1" applyProtection="1">
      <alignment horizontal="center" wrapText="1"/>
    </xf>
    <xf numFmtId="0" fontId="4" fillId="0" borderId="13" xfId="2" quotePrefix="1" applyBorder="1" applyAlignment="1">
      <alignment horizontal="left" wrapText="1"/>
    </xf>
    <xf numFmtId="0" fontId="4" fillId="0" borderId="0" xfId="2" quotePrefix="1" applyAlignment="1">
      <alignment horizontal="left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17" fontId="3" fillId="2" borderId="3" xfId="2" quotePrefix="1" applyNumberFormat="1" applyFont="1" applyFill="1" applyBorder="1" applyAlignment="1">
      <alignment horizontal="center"/>
    </xf>
    <xf numFmtId="17" fontId="3" fillId="2" borderId="4" xfId="2" applyNumberFormat="1" applyFont="1" applyFill="1" applyBorder="1" applyAlignment="1">
      <alignment horizontal="center"/>
    </xf>
    <xf numFmtId="17" fontId="3" fillId="2" borderId="5" xfId="2" applyNumberFormat="1" applyFont="1" applyFill="1" applyBorder="1" applyAlignment="1">
      <alignment horizontal="center"/>
    </xf>
    <xf numFmtId="0" fontId="3" fillId="0" borderId="0" xfId="5" quotePrefix="1" applyFont="1" applyBorder="1" applyAlignment="1">
      <alignment horizontal="center"/>
    </xf>
    <xf numFmtId="0" fontId="3" fillId="0" borderId="0" xfId="5" applyFont="1" applyBorder="1" applyAlignment="1">
      <alignment horizontal="center"/>
    </xf>
    <xf numFmtId="0" fontId="6" fillId="0" borderId="0" xfId="5" quotePrefix="1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164" fontId="12" fillId="7" borderId="2" xfId="6" quotePrefix="1" applyNumberFormat="1" applyFont="1" applyFill="1" applyBorder="1" applyAlignment="1">
      <alignment horizontal="center"/>
    </xf>
    <xf numFmtId="164" fontId="12" fillId="7" borderId="6" xfId="6" applyNumberFormat="1" applyFont="1" applyFill="1" applyBorder="1" applyAlignment="1">
      <alignment horizontal="center"/>
    </xf>
    <xf numFmtId="164" fontId="12" fillId="7" borderId="24" xfId="6" quotePrefix="1" applyNumberFormat="1" applyFont="1" applyFill="1" applyBorder="1" applyAlignment="1">
      <alignment horizontal="center"/>
    </xf>
    <xf numFmtId="0" fontId="12" fillId="9" borderId="19" xfId="5" applyFont="1" applyFill="1" applyBorder="1" applyAlignment="1" applyProtection="1">
      <alignment vertical="top" wrapText="1"/>
    </xf>
    <xf numFmtId="0" fontId="12" fillId="9" borderId="44" xfId="5" applyFont="1" applyFill="1" applyBorder="1" applyAlignment="1" applyProtection="1">
      <alignment vertical="top" wrapText="1"/>
    </xf>
    <xf numFmtId="0" fontId="4" fillId="9" borderId="44" xfId="5" applyFont="1" applyFill="1" applyBorder="1" applyAlignment="1" applyProtection="1">
      <alignment vertical="top" wrapText="1"/>
    </xf>
    <xf numFmtId="0" fontId="4" fillId="9" borderId="45" xfId="5" applyFont="1" applyFill="1" applyBorder="1" applyAlignment="1" applyProtection="1">
      <alignment vertical="top" wrapText="1"/>
    </xf>
    <xf numFmtId="0" fontId="4" fillId="0" borderId="13" xfId="5" applyFont="1" applyFill="1" applyBorder="1" applyAlignment="1" applyProtection="1">
      <alignment vertical="top" wrapText="1"/>
      <protection locked="0"/>
    </xf>
    <xf numFmtId="0" fontId="4" fillId="0" borderId="0" xfId="5" applyFont="1" applyFill="1" applyBorder="1" applyAlignment="1" applyProtection="1">
      <alignment vertical="top" wrapText="1"/>
      <protection locked="0"/>
    </xf>
    <xf numFmtId="0" fontId="4" fillId="0" borderId="56" xfId="5" applyFont="1" applyFill="1" applyBorder="1" applyAlignment="1" applyProtection="1">
      <alignment vertical="top" wrapText="1"/>
      <protection locked="0"/>
    </xf>
    <xf numFmtId="0" fontId="4" fillId="0" borderId="57" xfId="5" applyFont="1" applyFill="1" applyBorder="1" applyAlignment="1" applyProtection="1">
      <alignment vertical="top" wrapText="1"/>
      <protection locked="0"/>
    </xf>
    <xf numFmtId="0" fontId="12" fillId="8" borderId="19" xfId="5" applyFont="1" applyFill="1" applyBorder="1" applyAlignment="1" applyProtection="1">
      <alignment vertical="top" wrapText="1"/>
    </xf>
    <xf numFmtId="0" fontId="4" fillId="8" borderId="44" xfId="5" applyFont="1" applyFill="1" applyBorder="1" applyAlignment="1" applyProtection="1">
      <alignment vertical="top" wrapText="1"/>
    </xf>
    <xf numFmtId="0" fontId="4" fillId="0" borderId="13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/>
    </xf>
    <xf numFmtId="0" fontId="4" fillId="0" borderId="49" xfId="5" applyFont="1" applyFill="1" applyBorder="1" applyAlignment="1" applyProtection="1">
      <alignment horizontal="left" vertical="top" wrapText="1"/>
    </xf>
    <xf numFmtId="0" fontId="4" fillId="0" borderId="50" xfId="5" applyFont="1" applyFill="1" applyBorder="1" applyAlignment="1" applyProtection="1">
      <alignment horizontal="left" vertical="top" wrapText="1"/>
    </xf>
    <xf numFmtId="0" fontId="4" fillId="0" borderId="54" xfId="5" applyFont="1" applyFill="1" applyBorder="1" applyAlignment="1" applyProtection="1">
      <alignment horizontal="left" vertical="top" wrapText="1"/>
    </xf>
    <xf numFmtId="0" fontId="4" fillId="0" borderId="55" xfId="5" applyFont="1" applyFill="1" applyBorder="1" applyAlignment="1" applyProtection="1">
      <alignment horizontal="left" vertical="top" wrapText="1"/>
    </xf>
    <xf numFmtId="0" fontId="4" fillId="0" borderId="51" xfId="5" applyFont="1" applyFill="1" applyBorder="1" applyAlignment="1" applyProtection="1">
      <alignment horizontal="left" vertical="top" wrapText="1"/>
    </xf>
    <xf numFmtId="0" fontId="12" fillId="8" borderId="19" xfId="5" applyFont="1" applyFill="1" applyBorder="1" applyAlignment="1" applyProtection="1">
      <alignment horizontal="center" vertical="top" wrapText="1"/>
    </xf>
    <xf numFmtId="0" fontId="12" fillId="8" borderId="44" xfId="5" applyFont="1" applyFill="1" applyBorder="1" applyAlignment="1" applyProtection="1">
      <alignment horizontal="center" vertical="top" wrapText="1"/>
    </xf>
    <xf numFmtId="0" fontId="12" fillId="8" borderId="45" xfId="5" applyFont="1" applyFill="1" applyBorder="1" applyAlignment="1" applyProtection="1">
      <alignment horizontal="center" vertical="top" wrapText="1"/>
    </xf>
    <xf numFmtId="0" fontId="4" fillId="0" borderId="13" xfId="5" applyFont="1" applyFill="1" applyBorder="1" applyAlignment="1" applyProtection="1">
      <alignment horizontal="left" vertical="top" wrapText="1"/>
    </xf>
    <xf numFmtId="0" fontId="4" fillId="0" borderId="0" xfId="5" applyFont="1" applyFill="1" applyBorder="1" applyAlignment="1" applyProtection="1">
      <alignment horizontal="left" vertical="top" wrapText="1"/>
    </xf>
    <xf numFmtId="0" fontId="4" fillId="0" borderId="9" xfId="5" applyFont="1" applyFill="1" applyBorder="1" applyAlignment="1" applyProtection="1">
      <alignment horizontal="left" vertical="top" wrapText="1"/>
    </xf>
    <xf numFmtId="0" fontId="12" fillId="8" borderId="49" xfId="5" applyFont="1" applyFill="1" applyBorder="1" applyAlignment="1" applyProtection="1">
      <alignment horizontal="center" vertical="top" wrapText="1"/>
    </xf>
    <xf numFmtId="0" fontId="12" fillId="8" borderId="50" xfId="5" applyFont="1" applyFill="1" applyBorder="1" applyAlignment="1" applyProtection="1">
      <alignment horizontal="center" vertical="top" wrapText="1"/>
    </xf>
    <xf numFmtId="0" fontId="12" fillId="8" borderId="51" xfId="5" applyFont="1" applyFill="1" applyBorder="1" applyAlignment="1" applyProtection="1">
      <alignment horizontal="center" vertical="top" wrapText="1"/>
    </xf>
    <xf numFmtId="0" fontId="12" fillId="9" borderId="33" xfId="5" applyFont="1" applyFill="1" applyBorder="1" applyAlignment="1" applyProtection="1">
      <alignment horizontal="center" vertical="top" wrapText="1"/>
    </xf>
    <xf numFmtId="0" fontId="12" fillId="9" borderId="20" xfId="5" applyFont="1" applyFill="1" applyBorder="1" applyAlignment="1" applyProtection="1">
      <alignment horizontal="center" vertical="top" wrapText="1"/>
    </xf>
    <xf numFmtId="0" fontId="12" fillId="9" borderId="21" xfId="5" applyFont="1" applyFill="1" applyBorder="1" applyAlignment="1" applyProtection="1">
      <alignment horizontal="center" vertical="top" wrapText="1"/>
    </xf>
    <xf numFmtId="0" fontId="4" fillId="0" borderId="46" xfId="5" applyFont="1" applyFill="1" applyBorder="1" applyAlignment="1" applyProtection="1">
      <alignment horizontal="left" vertical="top" wrapText="1"/>
    </xf>
    <xf numFmtId="0" fontId="4" fillId="0" borderId="47" xfId="5" applyFont="1" applyFill="1" applyBorder="1" applyAlignment="1" applyProtection="1">
      <alignment horizontal="left" vertical="top" wrapText="1"/>
    </xf>
    <xf numFmtId="0" fontId="4" fillId="0" borderId="52" xfId="5" applyFont="1" applyFill="1" applyBorder="1" applyAlignment="1" applyProtection="1">
      <alignment horizontal="left" vertical="top" wrapText="1"/>
    </xf>
    <xf numFmtId="0" fontId="4" fillId="0" borderId="53" xfId="5" applyFont="1" applyFill="1" applyBorder="1" applyAlignment="1" applyProtection="1">
      <alignment horizontal="left" vertical="top" wrapText="1"/>
    </xf>
    <xf numFmtId="0" fontId="4" fillId="0" borderId="48" xfId="5" applyFont="1" applyFill="1" applyBorder="1" applyAlignment="1" applyProtection="1">
      <alignment horizontal="left" vertical="top" wrapText="1"/>
    </xf>
    <xf numFmtId="0" fontId="12" fillId="9" borderId="13" xfId="5" applyFont="1" applyFill="1" applyBorder="1" applyAlignment="1" applyProtection="1">
      <alignment vertical="top" wrapText="1"/>
    </xf>
    <xf numFmtId="0" fontId="12" fillId="9" borderId="0" xfId="5" applyFont="1" applyFill="1" applyBorder="1" applyAlignment="1" applyProtection="1">
      <alignment vertical="top" wrapText="1"/>
    </xf>
    <xf numFmtId="0" fontId="4" fillId="8" borderId="44" xfId="5" applyFont="1" applyFill="1" applyBorder="1" applyAlignment="1" applyProtection="1">
      <alignment horizontal="center" vertical="top" wrapText="1"/>
    </xf>
    <xf numFmtId="0" fontId="4" fillId="8" borderId="45" xfId="5" applyFont="1" applyFill="1" applyBorder="1" applyAlignment="1" applyProtection="1">
      <alignment horizontal="center" vertical="top" wrapText="1"/>
    </xf>
    <xf numFmtId="0" fontId="4" fillId="0" borderId="13" xfId="5" applyFont="1" applyFill="1" applyBorder="1" applyAlignment="1" applyProtection="1">
      <alignment vertical="top" wrapText="1"/>
    </xf>
    <xf numFmtId="0" fontId="4" fillId="0" borderId="0" xfId="5" applyFont="1" applyFill="1" applyBorder="1" applyAlignment="1" applyProtection="1">
      <alignment vertical="top" wrapText="1"/>
    </xf>
    <xf numFmtId="0" fontId="12" fillId="8" borderId="13" xfId="5" applyFont="1" applyFill="1" applyBorder="1" applyAlignment="1" applyProtection="1">
      <alignment vertical="top" wrapText="1"/>
    </xf>
    <xf numFmtId="0" fontId="4" fillId="8" borderId="0" xfId="5" applyFont="1" applyFill="1" applyBorder="1" applyAlignment="1" applyProtection="1">
      <alignment vertical="top" wrapText="1"/>
    </xf>
    <xf numFmtId="0" fontId="4" fillId="8" borderId="9" xfId="5" applyFont="1" applyFill="1" applyBorder="1" applyAlignment="1" applyProtection="1">
      <alignment vertical="top" wrapText="1"/>
    </xf>
    <xf numFmtId="0" fontId="4" fillId="0" borderId="9" xfId="5" applyFont="1" applyFill="1" applyBorder="1" applyAlignment="1" applyProtection="1">
      <alignment vertical="top" wrapText="1"/>
      <protection locked="0"/>
    </xf>
    <xf numFmtId="0" fontId="12" fillId="8" borderId="46" xfId="5" applyFont="1" applyFill="1" applyBorder="1" applyAlignment="1" applyProtection="1">
      <alignment horizontal="center" vertical="top" wrapText="1"/>
    </xf>
    <xf numFmtId="0" fontId="12" fillId="8" borderId="47" xfId="5" applyFont="1" applyFill="1" applyBorder="1" applyAlignment="1" applyProtection="1">
      <alignment horizontal="center" vertical="top" wrapText="1"/>
    </xf>
    <xf numFmtId="0" fontId="12" fillId="8" borderId="48" xfId="5" applyFont="1" applyFill="1" applyBorder="1" applyAlignment="1" applyProtection="1">
      <alignment horizontal="center" vertical="top" wrapText="1"/>
    </xf>
    <xf numFmtId="0" fontId="12" fillId="8" borderId="50" xfId="5" applyFont="1" applyFill="1" applyBorder="1" applyAlignment="1" applyProtection="1">
      <alignment horizontal="left" vertical="top" wrapText="1"/>
    </xf>
    <xf numFmtId="0" fontId="12" fillId="8" borderId="22" xfId="5" applyFont="1" applyFill="1" applyBorder="1" applyAlignment="1" applyProtection="1">
      <alignment horizontal="center" vertical="top" wrapText="1"/>
    </xf>
    <xf numFmtId="0" fontId="4" fillId="8" borderId="42" xfId="5" applyFont="1" applyFill="1" applyBorder="1" applyAlignment="1" applyProtection="1">
      <alignment horizontal="center" vertical="top" wrapText="1"/>
    </xf>
    <xf numFmtId="0" fontId="4" fillId="8" borderId="43" xfId="5" applyFont="1" applyFill="1" applyBorder="1" applyAlignment="1" applyProtection="1">
      <alignment horizontal="center" vertical="top" wrapText="1"/>
    </xf>
    <xf numFmtId="0" fontId="12" fillId="8" borderId="13" xfId="5" applyFont="1" applyFill="1" applyBorder="1" applyAlignment="1" applyProtection="1">
      <alignment horizontal="left" vertical="top" wrapText="1"/>
    </xf>
    <xf numFmtId="0" fontId="4" fillId="8" borderId="0" xfId="5" applyFont="1" applyFill="1" applyBorder="1" applyAlignment="1" applyProtection="1">
      <alignment horizontal="left" vertical="top" wrapText="1"/>
    </xf>
    <xf numFmtId="0" fontId="4" fillId="8" borderId="9" xfId="5" applyFont="1" applyFill="1" applyBorder="1" applyAlignment="1" applyProtection="1">
      <alignment horizontal="left" vertical="top" wrapText="1"/>
    </xf>
    <xf numFmtId="0" fontId="4" fillId="0" borderId="19" xfId="5" applyFont="1" applyFill="1" applyBorder="1" applyAlignment="1" applyProtection="1">
      <alignment vertical="top" wrapText="1"/>
      <protection locked="0"/>
    </xf>
    <xf numFmtId="0" fontId="4" fillId="0" borderId="44" xfId="5" applyFont="1" applyFill="1" applyBorder="1" applyAlignment="1" applyProtection="1">
      <alignment vertical="top" wrapText="1"/>
      <protection locked="0"/>
    </xf>
    <xf numFmtId="0" fontId="4" fillId="0" borderId="45" xfId="5" applyFont="1" applyFill="1" applyBorder="1" applyAlignment="1" applyProtection="1">
      <alignment vertical="top" wrapText="1"/>
      <protection locked="0"/>
    </xf>
    <xf numFmtId="0" fontId="7" fillId="0" borderId="0" xfId="2" applyFont="1" applyFill="1"/>
  </cellXfs>
  <cellStyles count="20">
    <cellStyle name="Comma 2" xfId="7"/>
    <cellStyle name="Comma 3" xfId="4"/>
    <cellStyle name="Currency 2" xfId="9"/>
    <cellStyle name="Currency 3" xfId="8"/>
    <cellStyle name="Currency 4" xfId="10"/>
    <cellStyle name="Normal" xfId="0" builtinId="0"/>
    <cellStyle name="Normal 10" xfId="6"/>
    <cellStyle name="Normal 133" xfId="11"/>
    <cellStyle name="Normal 2" xfId="2"/>
    <cellStyle name="Normal 2 2" xfId="12"/>
    <cellStyle name="Normal 2 2 2" xfId="3"/>
    <cellStyle name="Normal 2 3" xfId="13"/>
    <cellStyle name="Normal 3" xfId="14"/>
    <cellStyle name="Normal 3 2" xfId="15"/>
    <cellStyle name="Normal 4" xfId="16"/>
    <cellStyle name="Normal 5" xfId="17"/>
    <cellStyle name="Normal 56" xfId="5"/>
    <cellStyle name="Normal 6" xfId="18"/>
    <cellStyle name="Normal 7" xfId="1"/>
    <cellStyle name="Percent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cquelineas\Documents\Budget%20Maestro\Copy%20of%203-Data%20Projection%20Fields%20Advanced%20with%20d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%20of%20Finance%20and%20Administration/Budgets/Budget%202021/2021%20BUDGET/2021%20Budget/2021%20Budget%20v3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%20of%20Finance%20and%20Administration\Budgets\Budget%202021\MINISTRY%20TEMPLATE%20BUDGET\BUDGET%20TEMPLATE-%20FINAL%20ANGUILLA%20COMMUNITY%20COLLEG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- Data Projections "/>
      <sheetName val="Drivers"/>
      <sheetName val="Operating Expenses"/>
      <sheetName val="Sales"/>
      <sheetName val="Personnel"/>
      <sheetName val="Hourly PREs"/>
      <sheetName val="Period PREs"/>
      <sheetName val="Personnel-PRE Association"/>
      <sheetName val="Assets"/>
      <sheetName val="Manual Adjustment Group  Name"/>
      <sheetName val="Sales Related Costs"/>
      <sheetName val="Inventory Related Costs"/>
      <sheetName val="Sales SRC-IRC Relationships"/>
      <sheetName val="Lists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E3" t="str">
            <v>Even 12 Months</v>
          </cell>
        </row>
        <row r="4">
          <cell r="E4" t="str">
            <v>Monthly Amount</v>
          </cell>
        </row>
        <row r="5">
          <cell r="E5" t="str">
            <v>12th Month</v>
          </cell>
        </row>
        <row r="6">
          <cell r="E6" t="str">
            <v>Quarterly End</v>
          </cell>
        </row>
        <row r="7">
          <cell r="E7" t="str">
            <v>Quarterly Begin</v>
          </cell>
        </row>
        <row r="8">
          <cell r="E8" t="str">
            <v>1st Month</v>
          </cell>
        </row>
        <row r="9">
          <cell r="E9" t="str">
            <v>FY Periods (Weeks/Days)</v>
          </cell>
        </row>
        <row r="10">
          <cell r="E10" t="str">
            <v>Even</v>
          </cell>
        </row>
        <row r="11">
          <cell r="E11" t="str">
            <v>1st Semester Sept-Dec</v>
          </cell>
        </row>
        <row r="12">
          <cell r="E12" t="str">
            <v>2nd Semester Jan-May</v>
          </cell>
        </row>
        <row r="13">
          <cell r="E13" t="str">
            <v>3rd Semester June-Aug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LOAN PROJECTIONS"/>
      <sheetName val="LOAN INTEREST "/>
      <sheetName val="REVENUE 10 YEAR PERIOD "/>
      <sheetName val="Cash Budget"/>
      <sheetName val="BoG Exp and Rev-"/>
      <sheetName val="Master Summary Exp and Rev"/>
      <sheetName val="Statutory Body Budget"/>
      <sheetName val="Master "/>
      <sheetName val="Statutory Body HR"/>
      <sheetName val="Statutory Body KPI"/>
      <sheetName val="Estimates MinFin"/>
      <sheetName val="Master Summary Rev"/>
      <sheetName val="SUMMARY Rev By Dept 2021"/>
      <sheetName val="Master Summary Exp"/>
      <sheetName val="SUMMARY Exp By Dept 2021"/>
      <sheetName val="Academics Summary"/>
      <sheetName val="Academics"/>
      <sheetName val="Academics Rev"/>
      <sheetName val="TUITION REVENUE "/>
      <sheetName val="President Summary"/>
      <sheetName val="President"/>
      <sheetName val="President Rev (3)"/>
      <sheetName val="Registry Summary"/>
      <sheetName val="Registry"/>
      <sheetName val="Registry Rev (2)"/>
      <sheetName val="Finance Summary"/>
      <sheetName val="Finance"/>
      <sheetName val="FINANCE Rev (3)"/>
      <sheetName val="SALARIES "/>
      <sheetName val="Medical Insurance Exp"/>
      <sheetName val="Pension Expense"/>
      <sheetName val="Social Security"/>
      <sheetName val="Staff Allowances"/>
      <sheetName val="TRAVEL ALLOW"/>
      <sheetName val="Salaries-annual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E3">
            <v>122886.749</v>
          </cell>
          <cell r="G3">
            <v>122886.95999999999</v>
          </cell>
        </row>
        <row r="6">
          <cell r="E6">
            <v>5040.07</v>
          </cell>
          <cell r="G6">
            <v>6600</v>
          </cell>
        </row>
        <row r="7">
          <cell r="E7">
            <v>4488</v>
          </cell>
          <cell r="G7">
            <v>4488</v>
          </cell>
        </row>
        <row r="8">
          <cell r="E8">
            <v>0</v>
          </cell>
          <cell r="G8">
            <v>10000</v>
          </cell>
        </row>
        <row r="9">
          <cell r="E9">
            <v>0</v>
          </cell>
          <cell r="G9">
            <v>0</v>
          </cell>
        </row>
        <row r="11">
          <cell r="E11">
            <v>40013</v>
          </cell>
          <cell r="G11">
            <v>40013</v>
          </cell>
        </row>
        <row r="12">
          <cell r="E12">
            <v>0</v>
          </cell>
          <cell r="G12">
            <v>6000</v>
          </cell>
        </row>
        <row r="13">
          <cell r="E13">
            <v>1345.05</v>
          </cell>
          <cell r="G13">
            <v>1345</v>
          </cell>
        </row>
        <row r="18">
          <cell r="E18">
            <v>750</v>
          </cell>
          <cell r="G18">
            <v>922.05</v>
          </cell>
        </row>
        <row r="19">
          <cell r="E19">
            <v>14800</v>
          </cell>
          <cell r="G19">
            <v>42500</v>
          </cell>
        </row>
        <row r="20">
          <cell r="E20">
            <v>0</v>
          </cell>
          <cell r="G20">
            <v>0</v>
          </cell>
        </row>
        <row r="21">
          <cell r="E21">
            <v>32013</v>
          </cell>
          <cell r="G21">
            <v>41280</v>
          </cell>
        </row>
        <row r="22">
          <cell r="E22">
            <v>1250</v>
          </cell>
          <cell r="G22">
            <v>6099.99</v>
          </cell>
        </row>
        <row r="23">
          <cell r="E23">
            <v>0</v>
          </cell>
          <cell r="G23">
            <v>0</v>
          </cell>
        </row>
        <row r="24">
          <cell r="E24">
            <v>0</v>
          </cell>
          <cell r="G24">
            <v>0</v>
          </cell>
        </row>
        <row r="25">
          <cell r="E25">
            <v>36805.568299999999</v>
          </cell>
          <cell r="G25">
            <v>41203</v>
          </cell>
        </row>
        <row r="26">
          <cell r="E26">
            <v>66780</v>
          </cell>
          <cell r="G26">
            <v>62580</v>
          </cell>
        </row>
        <row r="27">
          <cell r="E27">
            <v>6008.31</v>
          </cell>
          <cell r="G27">
            <v>10000</v>
          </cell>
        </row>
        <row r="28">
          <cell r="E28">
            <v>10433</v>
          </cell>
          <cell r="G28">
            <v>20150</v>
          </cell>
        </row>
        <row r="29">
          <cell r="E29">
            <v>45272.15</v>
          </cell>
          <cell r="G29">
            <v>96000</v>
          </cell>
        </row>
        <row r="30">
          <cell r="E30">
            <v>5765.16</v>
          </cell>
          <cell r="G30">
            <v>4321.92</v>
          </cell>
        </row>
        <row r="31">
          <cell r="E31">
            <v>0</v>
          </cell>
          <cell r="G31">
            <v>0</v>
          </cell>
        </row>
        <row r="32">
          <cell r="E32">
            <v>119794.44</v>
          </cell>
          <cell r="G32">
            <v>150000</v>
          </cell>
        </row>
        <row r="33">
          <cell r="E33">
            <v>5274.6733333333295</v>
          </cell>
          <cell r="G33">
            <v>7000</v>
          </cell>
        </row>
        <row r="34">
          <cell r="E34">
            <v>416532</v>
          </cell>
          <cell r="G34">
            <v>173550.03</v>
          </cell>
        </row>
        <row r="35">
          <cell r="E35">
            <v>0</v>
          </cell>
          <cell r="G35">
            <v>0</v>
          </cell>
        </row>
        <row r="36">
          <cell r="E36">
            <v>151215</v>
          </cell>
          <cell r="G36">
            <v>113011.13</v>
          </cell>
        </row>
        <row r="37">
          <cell r="E37">
            <v>9999.7000000000007</v>
          </cell>
          <cell r="G37">
            <v>5500</v>
          </cell>
        </row>
        <row r="38">
          <cell r="E38">
            <v>57930.74</v>
          </cell>
          <cell r="G38">
            <v>95767.286666666667</v>
          </cell>
        </row>
        <row r="39">
          <cell r="E39">
            <v>0</v>
          </cell>
          <cell r="G39">
            <v>0</v>
          </cell>
        </row>
        <row r="40">
          <cell r="E40">
            <v>80741.285400000008</v>
          </cell>
          <cell r="G40">
            <v>69461.649999999994</v>
          </cell>
        </row>
        <row r="41">
          <cell r="E41">
            <v>4500</v>
          </cell>
          <cell r="G41">
            <v>4375</v>
          </cell>
        </row>
        <row r="42">
          <cell r="E42">
            <v>5500</v>
          </cell>
          <cell r="G42">
            <v>28002</v>
          </cell>
        </row>
        <row r="43">
          <cell r="E43">
            <v>0</v>
          </cell>
          <cell r="G43">
            <v>0</v>
          </cell>
        </row>
        <row r="44">
          <cell r="E44">
            <v>5322.58</v>
          </cell>
          <cell r="G44">
            <v>2000</v>
          </cell>
        </row>
        <row r="54">
          <cell r="E54">
            <v>11651.77</v>
          </cell>
          <cell r="G54">
            <v>0</v>
          </cell>
        </row>
        <row r="55">
          <cell r="E55">
            <v>5142.5</v>
          </cell>
          <cell r="G55">
            <v>5400</v>
          </cell>
        </row>
        <row r="56">
          <cell r="E56">
            <v>5000</v>
          </cell>
          <cell r="G56">
            <v>80000</v>
          </cell>
        </row>
        <row r="57">
          <cell r="E57">
            <v>0</v>
          </cell>
          <cell r="G57">
            <v>0</v>
          </cell>
        </row>
        <row r="58">
          <cell r="E58">
            <v>5220.6000000000004</v>
          </cell>
          <cell r="G58">
            <v>23818.62</v>
          </cell>
        </row>
        <row r="59">
          <cell r="E59">
            <v>7000</v>
          </cell>
          <cell r="G59">
            <v>0</v>
          </cell>
        </row>
        <row r="60">
          <cell r="E60">
            <v>0</v>
          </cell>
          <cell r="G60">
            <v>0</v>
          </cell>
        </row>
        <row r="61">
          <cell r="E61">
            <v>53264.890000000007</v>
          </cell>
          <cell r="G61">
            <v>55891.6</v>
          </cell>
        </row>
        <row r="62">
          <cell r="E62">
            <v>21933.114750000001</v>
          </cell>
          <cell r="G62">
            <v>30777.500000000004</v>
          </cell>
        </row>
        <row r="63">
          <cell r="E63">
            <v>6535.5690000000004</v>
          </cell>
          <cell r="G63">
            <v>10677.19</v>
          </cell>
        </row>
        <row r="64">
          <cell r="E64">
            <v>79991.56</v>
          </cell>
          <cell r="G64">
            <v>88800</v>
          </cell>
        </row>
        <row r="65">
          <cell r="E65">
            <v>1584594.34</v>
          </cell>
          <cell r="G65">
            <v>1694064.67</v>
          </cell>
        </row>
        <row r="67">
          <cell r="E67">
            <v>447625.10499999998</v>
          </cell>
          <cell r="G67">
            <v>615550</v>
          </cell>
        </row>
        <row r="68">
          <cell r="E68">
            <v>40323</v>
          </cell>
          <cell r="G68">
            <v>47078.520000000004</v>
          </cell>
        </row>
        <row r="69">
          <cell r="E69">
            <v>21300</v>
          </cell>
          <cell r="G69">
            <v>48000</v>
          </cell>
        </row>
        <row r="70">
          <cell r="E70">
            <v>3000</v>
          </cell>
          <cell r="G70">
            <v>9000</v>
          </cell>
        </row>
        <row r="71">
          <cell r="E71">
            <v>167400</v>
          </cell>
          <cell r="G71">
            <v>167400</v>
          </cell>
        </row>
        <row r="72">
          <cell r="E72">
            <v>672.05</v>
          </cell>
          <cell r="G72">
            <v>6000</v>
          </cell>
        </row>
        <row r="73">
          <cell r="E73">
            <v>0</v>
          </cell>
          <cell r="G73">
            <v>11000</v>
          </cell>
        </row>
        <row r="74">
          <cell r="E74">
            <v>0</v>
          </cell>
          <cell r="G74">
            <v>0</v>
          </cell>
        </row>
        <row r="75">
          <cell r="G75">
            <v>0</v>
          </cell>
        </row>
        <row r="76">
          <cell r="E76">
            <v>50820</v>
          </cell>
          <cell r="G76">
            <v>35087.520000000004</v>
          </cell>
        </row>
        <row r="77">
          <cell r="E77">
            <v>0.08</v>
          </cell>
          <cell r="G77">
            <v>0</v>
          </cell>
        </row>
        <row r="79">
          <cell r="E79">
            <v>7844</v>
          </cell>
          <cell r="G79">
            <v>6000</v>
          </cell>
        </row>
      </sheetData>
      <sheetData sheetId="8"/>
      <sheetData sheetId="9"/>
      <sheetData sheetId="10"/>
      <sheetData sheetId="11">
        <row r="7">
          <cell r="G7">
            <v>519857</v>
          </cell>
          <cell r="I7">
            <v>871745.14</v>
          </cell>
        </row>
        <row r="8">
          <cell r="G8">
            <v>6375</v>
          </cell>
          <cell r="I8">
            <v>25000</v>
          </cell>
        </row>
        <row r="10">
          <cell r="G10">
            <v>11607</v>
          </cell>
          <cell r="I10">
            <v>17786</v>
          </cell>
        </row>
        <row r="12">
          <cell r="G12">
            <v>65565.16</v>
          </cell>
          <cell r="I12">
            <v>149081.85999999999</v>
          </cell>
        </row>
        <row r="13">
          <cell r="G13">
            <v>885</v>
          </cell>
        </row>
        <row r="14">
          <cell r="G14">
            <v>3039178</v>
          </cell>
          <cell r="I14">
            <v>3039178</v>
          </cell>
        </row>
        <row r="22">
          <cell r="G22">
            <v>4448.5</v>
          </cell>
          <cell r="I22">
            <v>2500</v>
          </cell>
        </row>
        <row r="25">
          <cell r="G25">
            <v>0</v>
          </cell>
          <cell r="I25">
            <v>-174349.02800000002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9">
          <cell r="O9">
            <v>58872</v>
          </cell>
        </row>
        <row r="12">
          <cell r="O12">
            <v>48360</v>
          </cell>
        </row>
        <row r="13">
          <cell r="O13">
            <v>105336</v>
          </cell>
        </row>
        <row r="14">
          <cell r="O14">
            <v>30000</v>
          </cell>
        </row>
        <row r="15">
          <cell r="O15">
            <v>21600</v>
          </cell>
        </row>
        <row r="16">
          <cell r="O16">
            <v>149580</v>
          </cell>
        </row>
        <row r="17">
          <cell r="O17">
            <v>142380</v>
          </cell>
        </row>
        <row r="18">
          <cell r="O18">
            <v>147999.96</v>
          </cell>
        </row>
        <row r="19">
          <cell r="O19">
            <v>131712</v>
          </cell>
        </row>
        <row r="20">
          <cell r="O20">
            <v>53800</v>
          </cell>
        </row>
        <row r="22">
          <cell r="O22">
            <v>87156</v>
          </cell>
        </row>
        <row r="23">
          <cell r="O23">
            <v>268820.03999999992</v>
          </cell>
        </row>
        <row r="24">
          <cell r="O24">
            <v>142389</v>
          </cell>
        </row>
        <row r="26">
          <cell r="O26">
            <v>89784</v>
          </cell>
        </row>
        <row r="28">
          <cell r="O28">
            <v>129120</v>
          </cell>
        </row>
        <row r="32">
          <cell r="O32">
            <v>87156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tory Body Budget"/>
      <sheetName val="Statutory Body HR"/>
      <sheetName val="Statutory Body KPI"/>
    </sheetNames>
    <sheetDataSet>
      <sheetData sheetId="0">
        <row r="53">
          <cell r="B53">
            <v>4175461.4</v>
          </cell>
          <cell r="C53">
            <v>4441818</v>
          </cell>
          <cell r="D53">
            <v>4396508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55"/>
  <sheetViews>
    <sheetView view="pageBreakPreview" zoomScale="80" zoomScaleNormal="75" zoomScaleSheetLayoutView="80" workbookViewId="0">
      <pane ySplit="8" topLeftCell="A9" activePane="bottomLeft" state="frozen"/>
      <selection activeCell="A14" sqref="A14:XFD14"/>
      <selection pane="bottomLeft" activeCell="A3" sqref="A3"/>
    </sheetView>
  </sheetViews>
  <sheetFormatPr defaultColWidth="9.1796875" defaultRowHeight="12.5" x14ac:dyDescent="0.25"/>
  <cols>
    <col min="1" max="1" width="57" style="3" customWidth="1"/>
    <col min="2" max="2" width="18.26953125" style="3" customWidth="1"/>
    <col min="3" max="3" width="17.81640625" style="3" customWidth="1"/>
    <col min="4" max="4" width="17.453125" style="3" customWidth="1"/>
    <col min="5" max="5" width="13.54296875" style="3" customWidth="1"/>
    <col min="6" max="6" width="19.453125" style="3" customWidth="1"/>
    <col min="7" max="7" width="13.54296875" style="3" customWidth="1"/>
    <col min="8" max="8" width="14" style="3" customWidth="1"/>
    <col min="9" max="9" width="24.1796875" style="3" customWidth="1"/>
    <col min="10" max="12" width="9.1796875" style="3" customWidth="1"/>
    <col min="13" max="13" width="1.26953125" style="3" customWidth="1"/>
    <col min="14" max="16384" width="9.1796875" style="3"/>
  </cols>
  <sheetData>
    <row r="1" spans="1:8" ht="21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1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1" customHeight="1" x14ac:dyDescent="0.35">
      <c r="A3" s="1" t="s">
        <v>2</v>
      </c>
      <c r="B3" s="2"/>
      <c r="C3" s="2"/>
      <c r="D3" s="2"/>
      <c r="E3" s="2"/>
      <c r="F3" s="2"/>
      <c r="G3" s="2"/>
      <c r="H3" s="2"/>
    </row>
    <row r="4" spans="1:8" ht="21" customHeight="1" x14ac:dyDescent="0.35">
      <c r="A4" s="2"/>
      <c r="B4" s="2"/>
      <c r="C4" s="2"/>
      <c r="D4" s="2"/>
      <c r="E4" s="2"/>
      <c r="F4" s="2"/>
      <c r="G4" s="2"/>
      <c r="H4" s="2"/>
    </row>
    <row r="5" spans="1:8" ht="21" customHeight="1" thickBot="1" x14ac:dyDescent="0.4">
      <c r="A5" s="2"/>
      <c r="B5" s="2"/>
      <c r="C5" s="2"/>
      <c r="D5" s="2"/>
      <c r="E5" s="2"/>
      <c r="F5" s="2"/>
      <c r="G5" s="2"/>
      <c r="H5" s="2"/>
    </row>
    <row r="6" spans="1:8" ht="21" customHeight="1" x14ac:dyDescent="0.35">
      <c r="A6" s="132"/>
      <c r="B6" s="4">
        <v>2019</v>
      </c>
      <c r="C6" s="135" t="s">
        <v>3</v>
      </c>
      <c r="D6" s="136"/>
      <c r="E6" s="137"/>
      <c r="F6" s="5">
        <v>2021</v>
      </c>
      <c r="G6" s="4">
        <v>2022</v>
      </c>
      <c r="H6" s="6">
        <v>2023</v>
      </c>
    </row>
    <row r="7" spans="1:8" ht="21" customHeight="1" x14ac:dyDescent="0.25">
      <c r="A7" s="133"/>
      <c r="B7" s="126" t="s">
        <v>4</v>
      </c>
      <c r="C7" s="126" t="s">
        <v>5</v>
      </c>
      <c r="D7" s="126" t="s">
        <v>6</v>
      </c>
      <c r="E7" s="126" t="s">
        <v>7</v>
      </c>
      <c r="F7" s="124" t="s">
        <v>8</v>
      </c>
      <c r="G7" s="126" t="s">
        <v>9</v>
      </c>
      <c r="H7" s="128" t="s">
        <v>9</v>
      </c>
    </row>
    <row r="8" spans="1:8" ht="21" customHeight="1" thickBot="1" x14ac:dyDescent="0.3">
      <c r="A8" s="134" t="s">
        <v>10</v>
      </c>
      <c r="B8" s="127"/>
      <c r="C8" s="127"/>
      <c r="D8" s="127"/>
      <c r="E8" s="127" t="s">
        <v>11</v>
      </c>
      <c r="F8" s="125"/>
      <c r="G8" s="127"/>
      <c r="H8" s="129"/>
    </row>
    <row r="9" spans="1:8" ht="21" customHeight="1" x14ac:dyDescent="0.35">
      <c r="A9" s="7"/>
      <c r="B9" s="8"/>
      <c r="C9" s="8"/>
      <c r="D9" s="8"/>
      <c r="E9" s="8"/>
      <c r="F9" s="8"/>
      <c r="G9" s="8"/>
      <c r="H9" s="9"/>
    </row>
    <row r="10" spans="1:8" s="10" customFormat="1" ht="21" customHeight="1" x14ac:dyDescent="0.35">
      <c r="A10" s="7" t="s">
        <v>12</v>
      </c>
      <c r="B10" s="8">
        <f>699279.53+16398.08+6088.61+591.4+22603+75097.96+5564.57+2821.18+31382+755.56+93560.2+479.88-5509.22-62318.37</f>
        <v>886794.38</v>
      </c>
      <c r="C10" s="8">
        <f>967517+4449+17500</f>
        <v>989466</v>
      </c>
      <c r="D10" s="8">
        <f>'[2]Master Summary Rev'!G7+'[2]Master Summary Rev'!G8+'[2]Master Summary Rev'!G10+'[2]Master Summary Rev'!G12+'[2]Master Summary Rev'!G13+'[2]Master Summary Rev'!G25</f>
        <v>604289.16</v>
      </c>
      <c r="E10" s="8"/>
      <c r="F10" s="8">
        <f>'[2]Master Summary Rev'!I7+'[2]Master Summary Rev'!I8+'[2]Master Summary Rev'!I10+'[2]Master Summary Rev'!I12+'[2]Master Summary Rev'!I25</f>
        <v>889263.97199999995</v>
      </c>
      <c r="G10" s="8"/>
      <c r="H10" s="9"/>
    </row>
    <row r="11" spans="1:8" ht="21" customHeight="1" x14ac:dyDescent="0.35">
      <c r="A11" s="7" t="s">
        <v>13</v>
      </c>
      <c r="B11" s="8">
        <f>3407.73+645.88</f>
        <v>4053.61</v>
      </c>
      <c r="C11" s="8"/>
      <c r="D11" s="8">
        <f>'[2]Master Summary Rev'!G22</f>
        <v>4448.5</v>
      </c>
      <c r="E11" s="8"/>
      <c r="F11" s="8">
        <f>'[2]Master Summary Rev'!I22</f>
        <v>2500</v>
      </c>
      <c r="G11" s="8"/>
      <c r="H11" s="9"/>
    </row>
    <row r="12" spans="1:8" ht="21" customHeight="1" x14ac:dyDescent="0.35">
      <c r="A12" s="11" t="s">
        <v>14</v>
      </c>
      <c r="B12" s="8"/>
      <c r="C12" s="8"/>
      <c r="D12" s="8"/>
      <c r="E12" s="8"/>
      <c r="F12" s="8"/>
      <c r="G12" s="8"/>
      <c r="H12" s="9"/>
    </row>
    <row r="13" spans="1:8" s="10" customFormat="1" ht="21" customHeight="1" thickBot="1" x14ac:dyDescent="0.4">
      <c r="A13" s="11" t="s">
        <v>15</v>
      </c>
      <c r="B13" s="8">
        <f>3039177.96+515999.97</f>
        <v>3555177.9299999997</v>
      </c>
      <c r="C13" s="8">
        <f>3039178+413174</f>
        <v>3452352</v>
      </c>
      <c r="D13" s="8">
        <f>'[2]Master Summary Rev'!G14</f>
        <v>3039178</v>
      </c>
      <c r="E13" s="8"/>
      <c r="F13" s="8">
        <f>'[2]Master Summary Rev'!I14+1000000</f>
        <v>4039178</v>
      </c>
      <c r="G13" s="8"/>
      <c r="H13" s="9"/>
    </row>
    <row r="14" spans="1:8" ht="21" customHeight="1" thickBot="1" x14ac:dyDescent="0.4">
      <c r="A14" s="12" t="s">
        <v>16</v>
      </c>
      <c r="B14" s="13">
        <f t="shared" ref="B14:H14" si="0">SUM(B10:B13)</f>
        <v>4446025.92</v>
      </c>
      <c r="C14" s="13">
        <f t="shared" si="0"/>
        <v>4441818</v>
      </c>
      <c r="D14" s="13">
        <f t="shared" si="0"/>
        <v>3647915.66</v>
      </c>
      <c r="E14" s="13">
        <f t="shared" si="0"/>
        <v>0</v>
      </c>
      <c r="F14" s="13">
        <f t="shared" si="0"/>
        <v>4930941.9720000001</v>
      </c>
      <c r="G14" s="13">
        <f t="shared" si="0"/>
        <v>0</v>
      </c>
      <c r="H14" s="14">
        <f t="shared" si="0"/>
        <v>0</v>
      </c>
    </row>
    <row r="15" spans="1:8" ht="21" customHeight="1" x14ac:dyDescent="0.35">
      <c r="A15" s="11"/>
      <c r="B15" s="8"/>
      <c r="C15" s="8"/>
      <c r="D15" s="8"/>
      <c r="E15" s="8"/>
      <c r="F15" s="8"/>
      <c r="G15" s="8"/>
      <c r="H15" s="9"/>
    </row>
    <row r="16" spans="1:8" ht="21" customHeight="1" x14ac:dyDescent="0.35">
      <c r="A16" s="11" t="s">
        <v>17</v>
      </c>
      <c r="B16" s="8">
        <f>300200.66+806703.43+194190.62+463597.05</f>
        <v>1764691.76</v>
      </c>
      <c r="C16" s="8">
        <f>1897372</f>
        <v>1897372</v>
      </c>
      <c r="D16" s="8">
        <f>'[2]Master '!E65</f>
        <v>1584594.34</v>
      </c>
      <c r="E16" s="8"/>
      <c r="F16" s="8">
        <f>'[2]Master '!G65</f>
        <v>1694064.67</v>
      </c>
      <c r="G16" s="8"/>
      <c r="H16" s="9"/>
    </row>
    <row r="17" spans="1:19" ht="21" customHeight="1" x14ac:dyDescent="0.35">
      <c r="A17" s="11" t="s">
        <v>18</v>
      </c>
      <c r="B17" s="8">
        <f>447321.03</f>
        <v>447321.03</v>
      </c>
      <c r="C17" s="8">
        <f>701236-33392</f>
        <v>667844</v>
      </c>
      <c r="D17" s="8">
        <f>'[2]Master '!E67+'[2]Master '!E8+'[2]Master '!E9</f>
        <v>447625.10499999998</v>
      </c>
      <c r="E17" s="8"/>
      <c r="F17" s="8">
        <f>'[2]Master '!G67+'[2]Master '!G8+'[2]Master '!G9</f>
        <v>625550</v>
      </c>
      <c r="G17" s="8"/>
      <c r="H17" s="9"/>
    </row>
    <row r="18" spans="1:19" ht="21" customHeight="1" x14ac:dyDescent="0.35">
      <c r="A18" s="11" t="s">
        <v>19</v>
      </c>
      <c r="B18" s="8">
        <f>2400+9406.45+57240</f>
        <v>69046.45</v>
      </c>
      <c r="C18" s="8">
        <f>70350</f>
        <v>70350</v>
      </c>
      <c r="D18" s="8">
        <f>'[2]Master '!E56+'[2]Master '!E64</f>
        <v>84991.56</v>
      </c>
      <c r="E18" s="8"/>
      <c r="F18" s="8">
        <f>'[2]Master '!G56+'[2]Master '!G64</f>
        <v>168800</v>
      </c>
      <c r="G18" s="8"/>
      <c r="H18" s="9"/>
    </row>
    <row r="19" spans="1:19" ht="21" customHeight="1" x14ac:dyDescent="0.35">
      <c r="A19" s="11" t="s">
        <v>20</v>
      </c>
      <c r="B19" s="8">
        <f>21358.35+40323.01+9069.24+20294.04+1600.92+5255.64+10935.84+36452.8+10935.84+16403.76+2253.95</f>
        <v>174883.39000000004</v>
      </c>
      <c r="C19" s="8">
        <f>42173+82019</f>
        <v>124192</v>
      </c>
      <c r="D19" s="8">
        <f>'[2]Master '!E25+'[2]Master '!E26+'[2]Master '!E68</f>
        <v>143908.56829999998</v>
      </c>
      <c r="E19" s="8"/>
      <c r="F19" s="8">
        <f>'[2]Master '!G25+'[2]Master '!G26+'[2]Master '!G68</f>
        <v>150861.52000000002</v>
      </c>
      <c r="G19" s="8"/>
      <c r="H19" s="9"/>
    </row>
    <row r="20" spans="1:19" ht="21" customHeight="1" x14ac:dyDescent="0.35">
      <c r="A20" s="7" t="s">
        <v>21</v>
      </c>
      <c r="B20" s="8">
        <f>10645.4+26357.24+6682.48+13686.2+18992.99</f>
        <v>76364.31</v>
      </c>
      <c r="C20" s="8">
        <v>95748</v>
      </c>
      <c r="D20" s="8">
        <f>'[2]Master '!E61+'[2]Master '!E62</f>
        <v>75198.004750000007</v>
      </c>
      <c r="E20" s="8"/>
      <c r="F20" s="8">
        <f>'[2]Master '!G61+'[2]Master '!G62</f>
        <v>86669.1</v>
      </c>
      <c r="G20" s="8"/>
      <c r="H20" s="9"/>
    </row>
    <row r="21" spans="1:19" ht="21" customHeight="1" thickBot="1" x14ac:dyDescent="0.4">
      <c r="A21" s="11" t="s">
        <v>22</v>
      </c>
      <c r="B21" s="8">
        <v>0</v>
      </c>
      <c r="C21" s="8">
        <v>0</v>
      </c>
      <c r="D21" s="8">
        <v>0</v>
      </c>
      <c r="E21" s="8"/>
      <c r="F21" s="8"/>
      <c r="G21" s="8"/>
      <c r="H21" s="9"/>
    </row>
    <row r="22" spans="1:19" ht="21" customHeight="1" thickBot="1" x14ac:dyDescent="0.4">
      <c r="A22" s="12" t="s">
        <v>23</v>
      </c>
      <c r="B22" s="13">
        <f t="shared" ref="B22:H22" si="1">SUM(B16:B21)</f>
        <v>2532306.9400000004</v>
      </c>
      <c r="C22" s="13">
        <f t="shared" si="1"/>
        <v>2855506</v>
      </c>
      <c r="D22" s="13">
        <f t="shared" si="1"/>
        <v>2336317.5780499997</v>
      </c>
      <c r="E22" s="13">
        <f t="shared" si="1"/>
        <v>0</v>
      </c>
      <c r="F22" s="13">
        <f t="shared" si="1"/>
        <v>2725945.29</v>
      </c>
      <c r="G22" s="13">
        <f t="shared" si="1"/>
        <v>0</v>
      </c>
      <c r="H22" s="15">
        <f t="shared" si="1"/>
        <v>0</v>
      </c>
    </row>
    <row r="23" spans="1:19" ht="20.25" customHeight="1" x14ac:dyDescent="0.35">
      <c r="A23" s="11" t="s">
        <v>24</v>
      </c>
      <c r="B23" s="8">
        <v>165900</v>
      </c>
      <c r="C23" s="8">
        <v>167400</v>
      </c>
      <c r="D23" s="8">
        <f>'[2]Master '!E71</f>
        <v>167400</v>
      </c>
      <c r="E23" s="8"/>
      <c r="F23" s="8">
        <f>'[2]Master '!G71</f>
        <v>167400</v>
      </c>
      <c r="G23" s="8"/>
      <c r="H23" s="9"/>
    </row>
    <row r="24" spans="1:19" ht="20.25" customHeight="1" x14ac:dyDescent="0.35">
      <c r="A24" s="11" t="s">
        <v>25</v>
      </c>
      <c r="B24" s="8">
        <f>1800+2700</f>
        <v>4500</v>
      </c>
      <c r="C24" s="8">
        <v>6240</v>
      </c>
      <c r="D24" s="8">
        <f>'[2]Master '!E55</f>
        <v>5142.5</v>
      </c>
      <c r="E24" s="8"/>
      <c r="F24" s="8">
        <f>'[2]Master '!G55</f>
        <v>5400</v>
      </c>
      <c r="G24" s="8"/>
      <c r="H24" s="9"/>
    </row>
    <row r="25" spans="1:19" ht="20.25" customHeight="1" x14ac:dyDescent="0.35">
      <c r="A25" s="11" t="s">
        <v>26</v>
      </c>
      <c r="B25" s="8">
        <f>4925.67</f>
        <v>4925.67</v>
      </c>
      <c r="C25" s="8">
        <v>13527</v>
      </c>
      <c r="D25" s="8">
        <f>'[2]Master '!E54</f>
        <v>11651.77</v>
      </c>
      <c r="E25" s="8"/>
      <c r="F25" s="8">
        <f>'[2]Master '!G54</f>
        <v>0</v>
      </c>
      <c r="G25" s="8"/>
      <c r="H25" s="9"/>
      <c r="I25" s="3" t="s">
        <v>27</v>
      </c>
    </row>
    <row r="26" spans="1:19" ht="46.5" customHeight="1" x14ac:dyDescent="0.35">
      <c r="A26" s="11" t="s">
        <v>28</v>
      </c>
      <c r="B26" s="8">
        <f>117876.84</f>
        <v>117876.84</v>
      </c>
      <c r="C26" s="8">
        <v>131458</v>
      </c>
      <c r="D26" s="8">
        <f>'[2]Master '!E30+'[2]Master '!E32</f>
        <v>125559.6</v>
      </c>
      <c r="E26" s="8"/>
      <c r="F26" s="8">
        <f>'[2]Master '!G30+'[2]Master '!G32</f>
        <v>154321.92000000001</v>
      </c>
      <c r="G26" s="8"/>
      <c r="H26" s="9"/>
      <c r="I26" s="130"/>
      <c r="J26" s="131"/>
      <c r="K26" s="131"/>
      <c r="L26" s="131"/>
      <c r="M26" s="131"/>
      <c r="N26" s="131"/>
      <c r="O26" s="131"/>
      <c r="P26" s="131"/>
      <c r="Q26" s="131"/>
      <c r="R26" s="131"/>
      <c r="S26" s="131"/>
    </row>
    <row r="27" spans="1:19" ht="20.25" customHeight="1" x14ac:dyDescent="0.35">
      <c r="A27" s="7" t="s">
        <v>29</v>
      </c>
      <c r="B27" s="8">
        <f>45583.87</f>
        <v>45583.87</v>
      </c>
      <c r="C27" s="8">
        <v>57928</v>
      </c>
      <c r="D27" s="8">
        <f>'[2]Master '!E29</f>
        <v>45272.15</v>
      </c>
      <c r="E27" s="8"/>
      <c r="F27" s="8">
        <f>'[2]Master '!G29</f>
        <v>96000</v>
      </c>
      <c r="G27" s="8"/>
      <c r="H27" s="9"/>
    </row>
    <row r="28" spans="1:19" ht="20.25" customHeight="1" x14ac:dyDescent="0.35">
      <c r="A28" s="11" t="s">
        <v>30</v>
      </c>
      <c r="B28" s="8"/>
      <c r="C28" s="8"/>
      <c r="D28" s="8">
        <f>'[2]Master '!E58</f>
        <v>5220.6000000000004</v>
      </c>
      <c r="E28" s="8"/>
      <c r="F28" s="8">
        <f>'[2]Master '!G58</f>
        <v>23818.62</v>
      </c>
      <c r="G28" s="8"/>
      <c r="H28" s="9"/>
    </row>
    <row r="29" spans="1:19" ht="20.25" customHeight="1" x14ac:dyDescent="0.35">
      <c r="A29" s="7" t="s">
        <v>31</v>
      </c>
      <c r="B29" s="8">
        <v>416520.48</v>
      </c>
      <c r="C29" s="8">
        <v>372467</v>
      </c>
      <c r="D29" s="8">
        <f>'[2]Master '!E34</f>
        <v>416532</v>
      </c>
      <c r="E29" s="8"/>
      <c r="F29" s="8">
        <f>'[2]Master '!G34</f>
        <v>173550.03</v>
      </c>
      <c r="G29" s="8"/>
      <c r="H29" s="9"/>
    </row>
    <row r="30" spans="1:19" ht="20.25" customHeight="1" x14ac:dyDescent="0.35">
      <c r="A30" s="11" t="s">
        <v>32</v>
      </c>
      <c r="B30" s="8">
        <f>26481.61+17312.01+5011.34+403.23</f>
        <v>49208.189999999995</v>
      </c>
      <c r="C30" s="8">
        <v>90773</v>
      </c>
      <c r="D30" s="8">
        <f>'[2]Master '!E40+'[2]Master '!E41</f>
        <v>85241.285400000008</v>
      </c>
      <c r="E30" s="8"/>
      <c r="F30" s="8">
        <f>'[2]Master '!G40+'[2]Master '!G41</f>
        <v>73836.649999999994</v>
      </c>
      <c r="G30" s="8"/>
      <c r="H30" s="9"/>
    </row>
    <row r="31" spans="1:19" ht="20.25" customHeight="1" x14ac:dyDescent="0.35">
      <c r="A31" s="11" t="s">
        <v>33</v>
      </c>
      <c r="B31" s="8">
        <f>1344.1+250</f>
        <v>1594.1</v>
      </c>
      <c r="C31" s="8">
        <v>750</v>
      </c>
      <c r="D31" s="8">
        <f>'[2]Master '!E18+'[2]Master '!E13</f>
        <v>2095.0500000000002</v>
      </c>
      <c r="E31" s="8"/>
      <c r="F31" s="8">
        <f>'[2]Master '!G18+'[2]Master '!G13</f>
        <v>2267.0500000000002</v>
      </c>
      <c r="G31" s="8"/>
      <c r="H31" s="9"/>
    </row>
    <row r="32" spans="1:19" ht="20.25" customHeight="1" x14ac:dyDescent="0.35">
      <c r="A32" s="11" t="s">
        <v>34</v>
      </c>
      <c r="B32" s="8">
        <f>1566.9+4265.38+23414.56+5184.06</f>
        <v>34430.9</v>
      </c>
      <c r="C32" s="8">
        <v>57772</v>
      </c>
      <c r="D32" s="8">
        <f>'[2]Master '!E21+'[2]Master '!E22+'[2]Master '!E23+'[2]Master '!E24+'[2]Master '!E31+'[2]Master '!E33+'[2]Master '!E35+'[2]Master '!E37+'[2]Master '!E39+'[2]Master '!E43+'[2]Master '!E57</f>
        <v>48537.373333333337</v>
      </c>
      <c r="E32" s="8"/>
      <c r="F32" s="8">
        <f>'[2]Master '!G21+'[2]Master '!G22+'[2]Master '!G23+'[2]Master '!G24+'[2]Master '!G31+'[2]Master '!G33+'[2]Master '!G35+'[2]Master '!G37+'[2]Master '!G39+'[2]Master '!G43+'[2]Master '!G57</f>
        <v>59879.99</v>
      </c>
      <c r="G32" s="8"/>
      <c r="H32" s="9"/>
    </row>
    <row r="33" spans="1:9" ht="20.25" customHeight="1" x14ac:dyDescent="0.35">
      <c r="A33" s="11" t="s">
        <v>35</v>
      </c>
      <c r="B33" s="8"/>
      <c r="C33" s="8"/>
      <c r="D33" s="8"/>
      <c r="E33" s="8"/>
      <c r="F33" s="8"/>
      <c r="G33" s="8"/>
      <c r="H33" s="9"/>
    </row>
    <row r="34" spans="1:9" ht="20.25" customHeight="1" x14ac:dyDescent="0.35">
      <c r="A34" s="11" t="s">
        <v>36</v>
      </c>
      <c r="B34" s="8">
        <v>92633.44</v>
      </c>
      <c r="C34" s="8"/>
      <c r="D34" s="8">
        <f>'[2]Master '!E20</f>
        <v>0</v>
      </c>
      <c r="E34" s="8"/>
      <c r="F34" s="8">
        <f>'[2]Master '!G20</f>
        <v>0</v>
      </c>
      <c r="G34" s="8"/>
      <c r="H34" s="9"/>
    </row>
    <row r="35" spans="1:9" ht="20.25" customHeight="1" x14ac:dyDescent="0.35">
      <c r="A35" s="7" t="s">
        <v>37</v>
      </c>
      <c r="B35" s="8"/>
      <c r="C35" s="8"/>
      <c r="D35" s="8"/>
      <c r="E35" s="8"/>
      <c r="F35" s="8"/>
      <c r="G35" s="8"/>
      <c r="H35" s="9"/>
    </row>
    <row r="36" spans="1:9" ht="20.25" customHeight="1" x14ac:dyDescent="0.35">
      <c r="A36" s="11" t="s">
        <v>38</v>
      </c>
      <c r="B36" s="8">
        <f>5867.75+7491.2</f>
        <v>13358.95</v>
      </c>
      <c r="C36" s="8"/>
      <c r="D36" s="8">
        <f>'[2]Master '!E28+'[2]Master '!E27</f>
        <v>16441.310000000001</v>
      </c>
      <c r="E36" s="8"/>
      <c r="F36" s="8">
        <f>'[2]Master '!G28+'[2]Master '!G27</f>
        <v>30150</v>
      </c>
      <c r="G36" s="8"/>
      <c r="H36" s="9"/>
      <c r="I36" s="16"/>
    </row>
    <row r="37" spans="1:9" ht="20.25" customHeight="1" x14ac:dyDescent="0.35">
      <c r="A37" s="7" t="s">
        <v>39</v>
      </c>
      <c r="B37" s="8">
        <v>215.06</v>
      </c>
      <c r="C37" s="8">
        <v>2000</v>
      </c>
      <c r="D37" s="8">
        <f>'[2]Master '!E59</f>
        <v>7000</v>
      </c>
      <c r="E37" s="8"/>
      <c r="F37" s="8">
        <f>'[2]Master '!G59</f>
        <v>0</v>
      </c>
      <c r="G37" s="8"/>
      <c r="H37" s="9"/>
    </row>
    <row r="38" spans="1:9" ht="20.25" customHeight="1" x14ac:dyDescent="0.35">
      <c r="A38" s="11" t="s">
        <v>40</v>
      </c>
      <c r="B38" s="8">
        <v>5434.88</v>
      </c>
      <c r="C38" s="8"/>
      <c r="D38" s="8"/>
      <c r="E38" s="8"/>
      <c r="F38" s="8"/>
      <c r="G38" s="8"/>
      <c r="H38" s="9"/>
    </row>
    <row r="39" spans="1:9" ht="20.25" customHeight="1" x14ac:dyDescent="0.35">
      <c r="A39" s="11" t="s">
        <v>41</v>
      </c>
      <c r="B39" s="8">
        <f>197343.69+992.86</f>
        <v>198336.55</v>
      </c>
      <c r="C39" s="8">
        <v>182704</v>
      </c>
      <c r="D39" s="8">
        <f>'[2]Master '!E3</f>
        <v>122886.749</v>
      </c>
      <c r="E39" s="8"/>
      <c r="F39" s="8">
        <f>'[2]Master '!G3</f>
        <v>122886.95999999999</v>
      </c>
      <c r="G39" s="8"/>
      <c r="H39" s="9"/>
    </row>
    <row r="40" spans="1:9" ht="20.25" customHeight="1" x14ac:dyDescent="0.35">
      <c r="A40" s="11" t="s">
        <v>42</v>
      </c>
      <c r="B40" s="17">
        <f>452.32+1235.78+2078.63+1873.75+118634.6+41935.92+13752.4+72913.96+11217.47</f>
        <v>264094.82999999996</v>
      </c>
      <c r="C40" s="8">
        <v>399128</v>
      </c>
      <c r="D40" s="8">
        <f>'[2]Master '!E36+'[2]Master '!E38+'[2]Master '!E42+'[2]Master '!E19+'[2]Master '!E12</f>
        <v>229445.74</v>
      </c>
      <c r="E40" s="8"/>
      <c r="F40" s="8">
        <f>'[2]Master '!G36+'[2]Master '!G38+'[2]Master '!G42+'[2]Master '!G19+'[2]Master '!G12</f>
        <v>285280.41666666669</v>
      </c>
      <c r="G40" s="8"/>
      <c r="H40" s="9"/>
      <c r="I40" s="202"/>
    </row>
    <row r="41" spans="1:9" ht="20.25" customHeight="1" x14ac:dyDescent="0.35">
      <c r="A41" s="11" t="s">
        <v>43</v>
      </c>
      <c r="B41" s="8">
        <f>4583.94+589.28+255.38</f>
        <v>5428.5999999999995</v>
      </c>
      <c r="C41" s="8">
        <v>7875</v>
      </c>
      <c r="D41" s="8">
        <f>'[2]Master '!E7</f>
        <v>4488</v>
      </c>
      <c r="E41" s="8"/>
      <c r="F41" s="8">
        <f>'[2]Master '!G7</f>
        <v>4488</v>
      </c>
      <c r="G41" s="8"/>
      <c r="H41" s="9"/>
    </row>
    <row r="42" spans="1:9" ht="20.25" customHeight="1" x14ac:dyDescent="0.35">
      <c r="A42" s="11" t="s">
        <v>44</v>
      </c>
      <c r="B42" s="8"/>
      <c r="C42" s="8">
        <v>38109</v>
      </c>
      <c r="D42" s="8">
        <f>'[2]Master '!E76</f>
        <v>50820</v>
      </c>
      <c r="E42" s="8"/>
      <c r="F42" s="8">
        <f>'[2]Master '!G76</f>
        <v>35087.520000000004</v>
      </c>
      <c r="G42" s="8"/>
      <c r="H42" s="9"/>
    </row>
    <row r="43" spans="1:9" ht="20.25" customHeight="1" x14ac:dyDescent="0.35">
      <c r="A43" s="11" t="s">
        <v>45</v>
      </c>
      <c r="B43" s="8">
        <v>69218.92</v>
      </c>
      <c r="C43" s="8"/>
      <c r="D43" s="8">
        <f>'[2]Master '!E60</f>
        <v>0</v>
      </c>
      <c r="E43" s="8"/>
      <c r="F43" s="8">
        <f>'[2]Master '!G60</f>
        <v>0</v>
      </c>
      <c r="G43" s="8"/>
      <c r="H43" s="9"/>
    </row>
    <row r="44" spans="1:9" ht="20.25" customHeight="1" x14ac:dyDescent="0.35">
      <c r="A44" s="11" t="s">
        <v>46</v>
      </c>
      <c r="B44" s="8"/>
      <c r="C44" s="8">
        <v>487155</v>
      </c>
      <c r="G44" s="8"/>
      <c r="H44" s="9"/>
    </row>
    <row r="45" spans="1:9" ht="20.25" customHeight="1" x14ac:dyDescent="0.35">
      <c r="A45" s="11" t="s">
        <v>47</v>
      </c>
      <c r="B45" s="8"/>
      <c r="C45" s="8"/>
      <c r="D45" s="8"/>
      <c r="E45" s="8"/>
      <c r="F45" s="8"/>
      <c r="G45" s="8"/>
      <c r="H45" s="9"/>
    </row>
    <row r="46" spans="1:9" ht="20.25" customHeight="1" x14ac:dyDescent="0.35">
      <c r="A46" s="7" t="s">
        <v>48</v>
      </c>
      <c r="B46" s="8">
        <v>39012.5</v>
      </c>
      <c r="C46" s="8">
        <v>40013</v>
      </c>
      <c r="D46" s="8">
        <f>'[2]Master '!E11</f>
        <v>40013</v>
      </c>
      <c r="E46" s="8"/>
      <c r="F46" s="8">
        <f>'[2]Master '!G11</f>
        <v>40013</v>
      </c>
      <c r="G46" s="8"/>
      <c r="H46" s="9"/>
    </row>
    <row r="47" spans="1:9" ht="20.25" customHeight="1" x14ac:dyDescent="0.35">
      <c r="A47" s="11" t="s">
        <v>49</v>
      </c>
      <c r="B47" s="8">
        <v>0</v>
      </c>
      <c r="C47" s="8">
        <v>0</v>
      </c>
      <c r="D47" s="8">
        <v>0</v>
      </c>
      <c r="E47" s="8"/>
      <c r="F47" s="8"/>
      <c r="G47" s="8"/>
      <c r="H47" s="9"/>
    </row>
    <row r="48" spans="1:9" ht="20.25" customHeight="1" x14ac:dyDescent="0.35">
      <c r="A48" s="7" t="s">
        <v>50</v>
      </c>
      <c r="B48" s="8">
        <f>22312.06+6753.05+11876.45+2087.14+5450.96</f>
        <v>48479.659999999996</v>
      </c>
      <c r="C48" s="8">
        <v>0</v>
      </c>
      <c r="D48" s="8">
        <v>0</v>
      </c>
      <c r="E48" s="8"/>
      <c r="F48" s="8"/>
      <c r="G48" s="8"/>
      <c r="H48" s="9"/>
    </row>
    <row r="49" spans="1:17" ht="20.25" customHeight="1" x14ac:dyDescent="0.35">
      <c r="A49" s="11" t="s">
        <v>51</v>
      </c>
      <c r="B49" s="18">
        <f>11830.53+0.4+0.01+20-0.05+1.32+4737.05+61.07+1836.93+605.07+356.83+1514.01+4.03</f>
        <v>20967.2</v>
      </c>
      <c r="C49" s="8"/>
      <c r="D49" s="8">
        <f>'[2]Master '!E63</f>
        <v>6535.5690000000004</v>
      </c>
      <c r="E49" s="8"/>
      <c r="F49" s="8">
        <f>'[2]Master '!G63</f>
        <v>10677.19</v>
      </c>
      <c r="G49" s="8"/>
      <c r="H49" s="9"/>
    </row>
    <row r="50" spans="1:17" ht="20.25" customHeight="1" x14ac:dyDescent="0.35">
      <c r="A50" s="11" t="s">
        <v>52</v>
      </c>
      <c r="B50" s="8">
        <f>1552.73+2648.01+684.94+354.85+599.48+10592.69+3570.8+19453.4+5976.92</f>
        <v>45433.82</v>
      </c>
      <c r="C50" s="8">
        <f>18168</f>
        <v>18168</v>
      </c>
      <c r="D50" s="8">
        <f>'[2]Master '!E79+'[2]Master '!E77+'[2]Master '!E75+'[2]Master '!E74+'[2]Master '!E73+'[2]Master '!E72+'[2]Master '!E70+'[2]Master '!E69+'[2]Master '!E44+'[2]Master '!E6</f>
        <v>43178.78</v>
      </c>
      <c r="E50" s="8"/>
      <c r="F50" s="8">
        <f>'[2]Master '!G79+'[2]Master '!G77+'[2]Master '!G75+'[2]Master '!G74+'[2]Master '!G73+'[2]Master '!G72+'[2]Master '!G70+'[2]Master '!G69+'[2]Master '!G44+'[2]Master '!G6</f>
        <v>88600</v>
      </c>
      <c r="G50" s="8"/>
      <c r="H50" s="9"/>
    </row>
    <row r="51" spans="1:17" ht="21" customHeight="1" thickBot="1" x14ac:dyDescent="0.4">
      <c r="A51" s="19" t="s">
        <v>53</v>
      </c>
      <c r="B51" s="20">
        <f t="shared" ref="B51:H51" si="2">SUM(B23:B50)</f>
        <v>1643154.4599999997</v>
      </c>
      <c r="C51" s="20">
        <f t="shared" si="2"/>
        <v>2073467</v>
      </c>
      <c r="D51" s="20">
        <f t="shared" si="2"/>
        <v>1433461.4767333334</v>
      </c>
      <c r="E51" s="20">
        <f t="shared" si="2"/>
        <v>0</v>
      </c>
      <c r="F51" s="20">
        <f t="shared" si="2"/>
        <v>1373657.3466666667</v>
      </c>
      <c r="G51" s="20">
        <f t="shared" si="2"/>
        <v>0</v>
      </c>
      <c r="H51" s="21">
        <f t="shared" si="2"/>
        <v>0</v>
      </c>
    </row>
    <row r="52" spans="1:17" ht="21" customHeight="1" thickBot="1" x14ac:dyDescent="0.4">
      <c r="A52" s="22" t="s">
        <v>54</v>
      </c>
      <c r="B52" s="23">
        <f>SUM(B51+B22)</f>
        <v>4175461.4000000004</v>
      </c>
      <c r="C52" s="23">
        <f t="shared" ref="C52:H52" si="3">SUM(C51+C22)</f>
        <v>4928973</v>
      </c>
      <c r="D52" s="23">
        <f t="shared" si="3"/>
        <v>3769779.0547833331</v>
      </c>
      <c r="E52" s="23">
        <f t="shared" si="3"/>
        <v>0</v>
      </c>
      <c r="F52" s="23">
        <f t="shared" si="3"/>
        <v>4099602.6366666667</v>
      </c>
      <c r="G52" s="23">
        <f t="shared" si="3"/>
        <v>0</v>
      </c>
      <c r="H52" s="24">
        <f t="shared" si="3"/>
        <v>0</v>
      </c>
    </row>
    <row r="53" spans="1:17" s="28" customFormat="1" ht="33" customHeight="1" thickBot="1" x14ac:dyDescent="0.4">
      <c r="A53" s="25" t="s">
        <v>55</v>
      </c>
      <c r="B53" s="26">
        <f t="shared" ref="B53:H53" si="4">B14-B52</f>
        <v>270564.51999999955</v>
      </c>
      <c r="C53" s="26">
        <f t="shared" si="4"/>
        <v>-487155</v>
      </c>
      <c r="D53" s="26">
        <f>D14-D52</f>
        <v>-121863.39478333294</v>
      </c>
      <c r="E53" s="26">
        <f t="shared" si="4"/>
        <v>0</v>
      </c>
      <c r="F53" s="26">
        <f t="shared" si="4"/>
        <v>831339.33533333335</v>
      </c>
      <c r="G53" s="26">
        <f t="shared" si="4"/>
        <v>0</v>
      </c>
      <c r="H53" s="27">
        <f t="shared" si="4"/>
        <v>0</v>
      </c>
    </row>
    <row r="54" spans="1:17" s="28" customFormat="1" ht="21" customHeight="1" thickBot="1" x14ac:dyDescent="0.4">
      <c r="A54" s="29" t="s">
        <v>133</v>
      </c>
      <c r="B54" s="30"/>
      <c r="C54" s="30"/>
      <c r="D54" s="30"/>
      <c r="E54" s="30"/>
      <c r="F54" s="30">
        <v>885343</v>
      </c>
      <c r="G54" s="31"/>
      <c r="H54" s="32"/>
      <c r="I54" s="33" t="s">
        <v>56</v>
      </c>
      <c r="J54" s="34"/>
      <c r="K54" s="34"/>
      <c r="L54" s="34"/>
      <c r="M54" s="34"/>
      <c r="N54" s="34"/>
      <c r="O54" s="34"/>
      <c r="P54" s="34"/>
      <c r="Q54" s="34"/>
    </row>
    <row r="55" spans="1:17" s="28" customFormat="1" ht="33.75" customHeight="1" thickBot="1" x14ac:dyDescent="0.4">
      <c r="A55" s="35" t="s">
        <v>57</v>
      </c>
      <c r="B55" s="26">
        <f t="shared" ref="B55:H55" si="5">B53-B54</f>
        <v>270564.51999999955</v>
      </c>
      <c r="C55" s="26">
        <f t="shared" si="5"/>
        <v>-487155</v>
      </c>
      <c r="D55" s="26">
        <f t="shared" si="5"/>
        <v>-121863.39478333294</v>
      </c>
      <c r="E55" s="26">
        <f t="shared" si="5"/>
        <v>0</v>
      </c>
      <c r="F55" s="26">
        <f t="shared" si="5"/>
        <v>-54003.664666666649</v>
      </c>
      <c r="G55" s="26">
        <f t="shared" si="5"/>
        <v>0</v>
      </c>
      <c r="H55" s="27">
        <f t="shared" si="5"/>
        <v>0</v>
      </c>
    </row>
  </sheetData>
  <sheetProtection algorithmName="SHA-512" hashValue="ibVsYa+Y71PmhzTUYwdmAnJa0ATPb2hRKBrP9Si6VndnhEot+NkV7+fRW/e+vgugoZrMGB4SB9EhyX6Qx78pMQ==" saltValue="02WMEEve9VylQm4l3GDBzw==" spinCount="100000" sheet="1" formatCells="0" formatColumns="0" formatRows="0" insertColumns="0" insertRows="0" insertHyperlinks="0" deleteColumns="0" deleteRows="0" autoFilter="0" pivotTables="0"/>
  <mergeCells count="10">
    <mergeCell ref="F7:F8"/>
    <mergeCell ref="G7:G8"/>
    <mergeCell ref="H7:H8"/>
    <mergeCell ref="I26:S26"/>
    <mergeCell ref="A6:A8"/>
    <mergeCell ref="C6:E6"/>
    <mergeCell ref="B7:B8"/>
    <mergeCell ref="C7:C8"/>
    <mergeCell ref="D7:D8"/>
    <mergeCell ref="E7:E8"/>
  </mergeCells>
  <dataValidations count="1">
    <dataValidation type="textLength" allowBlank="1" showInputMessage="1" showErrorMessage="1" sqref="E3:E4 A3:B4">
      <formula1>4</formula1>
      <formula2>100</formula2>
    </dataValidation>
  </dataValidations>
  <pageMargins left="0.25" right="0.25" top="0.75" bottom="0.75" header="0.3" footer="0.3"/>
  <pageSetup scale="4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6"/>
  <sheetViews>
    <sheetView view="pageBreakPreview" zoomScaleNormal="100" zoomScaleSheetLayoutView="100" workbookViewId="0">
      <selection activeCell="B40" sqref="B40"/>
    </sheetView>
  </sheetViews>
  <sheetFormatPr defaultColWidth="9.1796875" defaultRowHeight="14.5" x14ac:dyDescent="0.35"/>
  <cols>
    <col min="1" max="1" width="9.1796875" style="36"/>
    <col min="2" max="2" width="42.1796875" style="36" customWidth="1"/>
    <col min="3" max="3" width="34.81640625" style="92" customWidth="1"/>
    <col min="4" max="4" width="17.7265625" style="36" customWidth="1"/>
    <col min="5" max="5" width="15" style="36" customWidth="1"/>
    <col min="6" max="6" width="13.1796875" style="36" customWidth="1"/>
    <col min="7" max="7" width="15.26953125" style="36" customWidth="1"/>
    <col min="8" max="8" width="10.453125" style="36" customWidth="1"/>
    <col min="9" max="16384" width="9.1796875" style="36"/>
  </cols>
  <sheetData>
    <row r="1" spans="1:7" ht="15.5" x14ac:dyDescent="0.35">
      <c r="A1" s="138" t="s">
        <v>58</v>
      </c>
      <c r="B1" s="139"/>
      <c r="C1" s="139"/>
      <c r="D1" s="139"/>
      <c r="E1" s="139"/>
      <c r="F1" s="139"/>
      <c r="G1" s="139"/>
    </row>
    <row r="2" spans="1:7" ht="15.5" x14ac:dyDescent="0.35">
      <c r="A2" s="140" t="s">
        <v>59</v>
      </c>
      <c r="B2" s="141"/>
      <c r="C2" s="141"/>
      <c r="D2" s="141"/>
      <c r="E2" s="141"/>
      <c r="F2" s="141"/>
      <c r="G2" s="141"/>
    </row>
    <row r="3" spans="1:7" ht="15.5" x14ac:dyDescent="0.35">
      <c r="A3" s="140" t="s">
        <v>132</v>
      </c>
      <c r="B3" s="141"/>
      <c r="C3" s="141"/>
      <c r="D3" s="141"/>
      <c r="E3" s="141"/>
      <c r="F3" s="141"/>
      <c r="G3" s="141"/>
    </row>
    <row r="4" spans="1:7" ht="16" thickBot="1" x14ac:dyDescent="0.4">
      <c r="A4" s="37"/>
      <c r="B4" s="37"/>
      <c r="C4" s="37"/>
      <c r="D4" s="37"/>
      <c r="E4" s="37"/>
      <c r="F4" s="37"/>
      <c r="G4" s="37"/>
    </row>
    <row r="5" spans="1:7" x14ac:dyDescent="0.35">
      <c r="A5" s="38"/>
      <c r="B5" s="39"/>
      <c r="C5" s="40"/>
      <c r="D5" s="142" t="s">
        <v>60</v>
      </c>
      <c r="E5" s="143"/>
      <c r="F5" s="144" t="s">
        <v>3</v>
      </c>
      <c r="G5" s="143"/>
    </row>
    <row r="6" spans="1:7" x14ac:dyDescent="0.35">
      <c r="A6" s="41"/>
      <c r="B6" s="42" t="s">
        <v>132</v>
      </c>
      <c r="C6" s="43" t="s">
        <v>61</v>
      </c>
      <c r="D6" s="44" t="s">
        <v>62</v>
      </c>
      <c r="E6" s="45" t="s">
        <v>63</v>
      </c>
      <c r="F6" s="46" t="s">
        <v>62</v>
      </c>
      <c r="G6" s="45" t="s">
        <v>63</v>
      </c>
    </row>
    <row r="7" spans="1:7" ht="15" thickBot="1" x14ac:dyDescent="0.4">
      <c r="A7" s="47"/>
      <c r="B7" s="48"/>
      <c r="C7" s="49"/>
      <c r="D7" s="50" t="s">
        <v>64</v>
      </c>
      <c r="E7" s="51" t="s">
        <v>65</v>
      </c>
      <c r="F7" s="52" t="s">
        <v>64</v>
      </c>
      <c r="G7" s="51" t="s">
        <v>65</v>
      </c>
    </row>
    <row r="8" spans="1:7" x14ac:dyDescent="0.35">
      <c r="A8" s="53"/>
      <c r="B8" s="54"/>
      <c r="C8" s="55"/>
      <c r="D8" s="56"/>
      <c r="E8" s="57"/>
      <c r="F8" s="58"/>
      <c r="G8" s="57"/>
    </row>
    <row r="9" spans="1:7" x14ac:dyDescent="0.35">
      <c r="A9" s="53"/>
      <c r="B9" s="59" t="s">
        <v>66</v>
      </c>
      <c r="C9" s="60">
        <v>1</v>
      </c>
      <c r="D9" s="57">
        <f>'[2]SALARIES '!O23</f>
        <v>268820.03999999992</v>
      </c>
      <c r="E9" s="57"/>
      <c r="F9" s="58"/>
      <c r="G9" s="61"/>
    </row>
    <row r="10" spans="1:7" x14ac:dyDescent="0.35">
      <c r="A10" s="53"/>
      <c r="B10" s="62" t="s">
        <v>69</v>
      </c>
      <c r="C10" s="60">
        <v>2</v>
      </c>
      <c r="D10" s="57">
        <f>'[2]SALARIES '!O16</f>
        <v>149580</v>
      </c>
      <c r="E10" s="57"/>
      <c r="F10" s="58"/>
      <c r="G10" s="61"/>
    </row>
    <row r="11" spans="1:7" x14ac:dyDescent="0.35">
      <c r="A11" s="53"/>
      <c r="B11" s="62" t="s">
        <v>71</v>
      </c>
      <c r="C11" s="60">
        <v>2</v>
      </c>
      <c r="D11" s="57">
        <f>'[2]SALARIES '!O18</f>
        <v>147999.96</v>
      </c>
      <c r="E11" s="57"/>
      <c r="F11" s="58"/>
      <c r="G11" s="61"/>
    </row>
    <row r="12" spans="1:7" x14ac:dyDescent="0.35">
      <c r="A12" s="53"/>
      <c r="B12" s="62" t="s">
        <v>75</v>
      </c>
      <c r="C12" s="60">
        <v>2</v>
      </c>
      <c r="D12" s="57">
        <f>'[2]SALARIES '!O17</f>
        <v>142380</v>
      </c>
      <c r="E12" s="57"/>
      <c r="F12" s="58"/>
      <c r="G12" s="61"/>
    </row>
    <row r="13" spans="1:7" x14ac:dyDescent="0.35">
      <c r="A13" s="53"/>
      <c r="B13" s="62" t="s">
        <v>78</v>
      </c>
      <c r="C13" s="60">
        <v>2</v>
      </c>
      <c r="D13" s="57">
        <f>'[2]SALARIES '!O24</f>
        <v>142389</v>
      </c>
      <c r="E13" s="57"/>
      <c r="F13" s="58"/>
      <c r="G13" s="61"/>
    </row>
    <row r="14" spans="1:7" x14ac:dyDescent="0.35">
      <c r="A14" s="53"/>
      <c r="B14" s="62" t="s">
        <v>70</v>
      </c>
      <c r="C14" s="60">
        <v>3</v>
      </c>
      <c r="D14" s="57">
        <f>'[2]SALARIES '!O19</f>
        <v>131712</v>
      </c>
      <c r="E14" s="57"/>
      <c r="F14" s="58"/>
      <c r="G14" s="61"/>
    </row>
    <row r="15" spans="1:7" x14ac:dyDescent="0.35">
      <c r="A15" s="53"/>
      <c r="B15" s="62" t="s">
        <v>72</v>
      </c>
      <c r="C15" s="60">
        <v>3</v>
      </c>
      <c r="D15" s="57">
        <f>'[2]SALARIES '!O28</f>
        <v>129120</v>
      </c>
      <c r="E15" s="57"/>
      <c r="F15" s="58"/>
      <c r="G15" s="61"/>
    </row>
    <row r="16" spans="1:7" x14ac:dyDescent="0.35">
      <c r="A16" s="53"/>
      <c r="B16" s="59" t="s">
        <v>81</v>
      </c>
      <c r="C16" s="60">
        <v>3</v>
      </c>
      <c r="D16" s="57">
        <f>'[2]SALARIES '!O20</f>
        <v>53800</v>
      </c>
      <c r="E16" s="57"/>
      <c r="F16" s="58"/>
      <c r="G16" s="61"/>
    </row>
    <row r="17" spans="1:8" x14ac:dyDescent="0.35">
      <c r="A17" s="53"/>
      <c r="B17" s="62" t="s">
        <v>73</v>
      </c>
      <c r="C17" s="60">
        <v>5</v>
      </c>
      <c r="D17" s="57">
        <f>'[2]SALARIES '!O13</f>
        <v>105336</v>
      </c>
      <c r="E17" s="57"/>
      <c r="F17" s="58"/>
      <c r="G17" s="61"/>
    </row>
    <row r="18" spans="1:8" x14ac:dyDescent="0.35">
      <c r="A18" s="53"/>
      <c r="B18" s="62" t="s">
        <v>76</v>
      </c>
      <c r="C18" s="60">
        <v>6</v>
      </c>
      <c r="D18" s="57">
        <f>'[2]SALARIES '!O26</f>
        <v>89784</v>
      </c>
      <c r="E18" s="57"/>
      <c r="F18" s="58"/>
      <c r="G18" s="61"/>
    </row>
    <row r="19" spans="1:8" x14ac:dyDescent="0.35">
      <c r="A19" s="53"/>
      <c r="B19" s="62" t="s">
        <v>68</v>
      </c>
      <c r="C19" s="60">
        <v>7</v>
      </c>
      <c r="D19" s="57">
        <f>'[2]SALARIES '!O22</f>
        <v>87156</v>
      </c>
      <c r="E19" s="57"/>
      <c r="F19" s="58"/>
      <c r="G19" s="61"/>
    </row>
    <row r="20" spans="1:8" x14ac:dyDescent="0.35">
      <c r="A20" s="53"/>
      <c r="B20" s="62" t="s">
        <v>80</v>
      </c>
      <c r="C20" s="60">
        <v>7</v>
      </c>
      <c r="D20" s="57">
        <f>'[2]SALARIES '!O32</f>
        <v>87156</v>
      </c>
      <c r="E20" s="57"/>
      <c r="F20" s="58"/>
      <c r="G20" s="61"/>
    </row>
    <row r="21" spans="1:8" x14ac:dyDescent="0.35">
      <c r="A21" s="53"/>
      <c r="B21" s="62" t="s">
        <v>79</v>
      </c>
      <c r="C21" s="60">
        <v>11</v>
      </c>
      <c r="D21" s="57">
        <f>'[2]SALARIES '!O9</f>
        <v>58872</v>
      </c>
      <c r="E21" s="57"/>
      <c r="F21" s="58"/>
      <c r="G21" s="61"/>
    </row>
    <row r="22" spans="1:8" x14ac:dyDescent="0.35">
      <c r="A22" s="53"/>
      <c r="B22" s="62" t="s">
        <v>77</v>
      </c>
      <c r="C22" s="60">
        <v>13</v>
      </c>
      <c r="D22" s="57">
        <f>'[2]SALARIES '!O12</f>
        <v>48360</v>
      </c>
      <c r="E22" s="57"/>
      <c r="F22" s="58"/>
      <c r="G22" s="61"/>
    </row>
    <row r="23" spans="1:8" x14ac:dyDescent="0.35">
      <c r="A23" s="53"/>
      <c r="B23" s="59" t="s">
        <v>67</v>
      </c>
      <c r="C23" s="60">
        <v>16</v>
      </c>
      <c r="D23" s="57">
        <f>'[2]SALARIES '!O15</f>
        <v>21600</v>
      </c>
      <c r="E23" s="57"/>
      <c r="F23" s="58"/>
      <c r="G23" s="61"/>
    </row>
    <row r="24" spans="1:8" x14ac:dyDescent="0.35">
      <c r="A24" s="53"/>
      <c r="B24" s="62" t="s">
        <v>74</v>
      </c>
      <c r="C24" s="60">
        <v>16</v>
      </c>
      <c r="D24" s="57">
        <f>'[2]SALARIES '!O14</f>
        <v>30000</v>
      </c>
      <c r="E24" s="57"/>
      <c r="F24" s="58"/>
      <c r="G24" s="61"/>
    </row>
    <row r="25" spans="1:8" x14ac:dyDescent="0.35">
      <c r="A25" s="53"/>
      <c r="B25" s="62"/>
      <c r="C25" s="63"/>
      <c r="D25" s="57"/>
      <c r="E25" s="57"/>
      <c r="F25" s="58"/>
      <c r="G25" s="61"/>
    </row>
    <row r="26" spans="1:8" x14ac:dyDescent="0.35">
      <c r="A26" s="53"/>
      <c r="B26" s="62"/>
      <c r="C26" s="63"/>
      <c r="D26" s="56"/>
      <c r="E26" s="57"/>
      <c r="F26" s="58"/>
      <c r="G26" s="57"/>
    </row>
    <row r="27" spans="1:8" x14ac:dyDescent="0.35">
      <c r="A27" s="53"/>
      <c r="B27" s="62"/>
      <c r="C27" s="63"/>
      <c r="D27" s="56"/>
      <c r="E27" s="57"/>
      <c r="F27" s="58"/>
      <c r="G27" s="57"/>
    </row>
    <row r="28" spans="1:8" x14ac:dyDescent="0.35">
      <c r="A28" s="53"/>
      <c r="B28" s="59"/>
      <c r="C28" s="60"/>
      <c r="D28" s="56"/>
      <c r="E28" s="57"/>
      <c r="F28" s="58"/>
      <c r="G28" s="57"/>
      <c r="H28" s="64"/>
    </row>
    <row r="29" spans="1:8" x14ac:dyDescent="0.35">
      <c r="A29" s="53"/>
      <c r="B29" s="59"/>
      <c r="C29" s="60"/>
      <c r="D29" s="56"/>
      <c r="E29" s="57"/>
      <c r="F29" s="58"/>
      <c r="G29" s="57"/>
      <c r="H29" s="64"/>
    </row>
    <row r="30" spans="1:8" x14ac:dyDescent="0.35">
      <c r="A30" s="53"/>
      <c r="B30" s="59"/>
      <c r="C30" s="60"/>
      <c r="D30" s="56"/>
      <c r="E30" s="57"/>
      <c r="F30" s="58"/>
      <c r="G30" s="57"/>
      <c r="H30" s="64"/>
    </row>
    <row r="31" spans="1:8" x14ac:dyDescent="0.35">
      <c r="A31" s="53"/>
      <c r="B31" s="59"/>
      <c r="C31" s="60"/>
      <c r="D31" s="56"/>
      <c r="E31" s="57"/>
      <c r="F31" s="58"/>
      <c r="G31" s="57"/>
      <c r="H31" s="64"/>
    </row>
    <row r="32" spans="1:8" x14ac:dyDescent="0.35">
      <c r="A32" s="53"/>
      <c r="B32" s="59"/>
      <c r="C32" s="60"/>
      <c r="D32" s="56"/>
      <c r="E32" s="57"/>
      <c r="F32" s="58"/>
      <c r="G32" s="57"/>
      <c r="H32" s="64"/>
    </row>
    <row r="33" spans="1:8" x14ac:dyDescent="0.35">
      <c r="A33" s="53"/>
      <c r="B33" s="59"/>
      <c r="C33" s="60"/>
      <c r="D33" s="56"/>
      <c r="E33" s="57"/>
      <c r="F33" s="58"/>
      <c r="G33" s="57"/>
      <c r="H33" s="64"/>
    </row>
    <row r="34" spans="1:8" x14ac:dyDescent="0.35">
      <c r="A34" s="53"/>
      <c r="B34" s="59"/>
      <c r="C34" s="60"/>
      <c r="D34" s="65"/>
      <c r="E34" s="66"/>
      <c r="F34" s="67"/>
      <c r="G34" s="66"/>
      <c r="H34" s="64"/>
    </row>
    <row r="35" spans="1:8" x14ac:dyDescent="0.35">
      <c r="A35" s="53"/>
      <c r="B35" s="59"/>
      <c r="C35" s="68"/>
      <c r="D35" s="69"/>
      <c r="E35" s="66"/>
      <c r="F35" s="70"/>
      <c r="G35" s="66"/>
      <c r="H35" s="64"/>
    </row>
    <row r="36" spans="1:8" x14ac:dyDescent="0.35">
      <c r="A36" s="53"/>
      <c r="B36" s="59"/>
      <c r="C36" s="60"/>
      <c r="D36" s="65"/>
      <c r="E36" s="66"/>
      <c r="F36" s="67"/>
      <c r="G36" s="66"/>
      <c r="H36" s="64"/>
    </row>
    <row r="37" spans="1:8" x14ac:dyDescent="0.35">
      <c r="A37" s="53"/>
      <c r="B37" s="54"/>
      <c r="C37" s="68"/>
      <c r="D37" s="56"/>
      <c r="E37" s="71"/>
      <c r="F37" s="58"/>
      <c r="G37" s="71"/>
    </row>
    <row r="38" spans="1:8" x14ac:dyDescent="0.35">
      <c r="A38" s="72"/>
      <c r="B38" s="73" t="s">
        <v>82</v>
      </c>
      <c r="C38" s="74"/>
      <c r="D38" s="75">
        <f>SUM(D8:D37)</f>
        <v>1694065</v>
      </c>
      <c r="E38" s="76">
        <f>SUM(E8:E37)</f>
        <v>0</v>
      </c>
      <c r="F38" s="77">
        <f>SUM(F8:F37)</f>
        <v>0</v>
      </c>
      <c r="G38" s="76">
        <f>SUM(G8:G37)</f>
        <v>0</v>
      </c>
    </row>
    <row r="39" spans="1:8" x14ac:dyDescent="0.35">
      <c r="A39" s="53"/>
      <c r="B39" s="54"/>
      <c r="C39" s="68"/>
      <c r="D39" s="56"/>
      <c r="E39" s="71"/>
      <c r="F39" s="58"/>
      <c r="G39" s="71"/>
    </row>
    <row r="40" spans="1:8" x14ac:dyDescent="0.35">
      <c r="A40" s="53"/>
      <c r="B40" s="59"/>
      <c r="C40" s="60"/>
      <c r="D40" s="65"/>
      <c r="E40" s="66"/>
      <c r="F40" s="67"/>
      <c r="G40" s="66"/>
    </row>
    <row r="41" spans="1:8" x14ac:dyDescent="0.35">
      <c r="A41" s="53"/>
      <c r="B41" s="78" t="s">
        <v>83</v>
      </c>
      <c r="C41" s="79"/>
      <c r="D41" s="65"/>
      <c r="E41" s="57"/>
      <c r="F41" s="67"/>
      <c r="G41" s="57"/>
    </row>
    <row r="42" spans="1:8" x14ac:dyDescent="0.35">
      <c r="A42" s="53"/>
      <c r="B42" s="78"/>
      <c r="C42" s="79"/>
      <c r="D42" s="65"/>
      <c r="E42" s="57"/>
      <c r="F42" s="67"/>
      <c r="G42" s="57"/>
    </row>
    <row r="43" spans="1:8" x14ac:dyDescent="0.35">
      <c r="A43" s="72"/>
      <c r="B43" s="80" t="s">
        <v>84</v>
      </c>
      <c r="C43" s="74"/>
      <c r="D43" s="81">
        <f>SUM(D39:D42)</f>
        <v>0</v>
      </c>
      <c r="E43" s="76">
        <f>SUM(E39:E42)</f>
        <v>0</v>
      </c>
      <c r="F43" s="77">
        <f>SUM(F39:F42)</f>
        <v>0</v>
      </c>
      <c r="G43" s="76">
        <f>SUM(G39:G42)</f>
        <v>0</v>
      </c>
    </row>
    <row r="44" spans="1:8" x14ac:dyDescent="0.35">
      <c r="A44" s="53"/>
      <c r="B44" s="54"/>
      <c r="C44" s="68"/>
      <c r="D44" s="56"/>
      <c r="E44" s="71"/>
      <c r="F44" s="58"/>
      <c r="G44" s="71"/>
    </row>
    <row r="45" spans="1:8" ht="15" thickBot="1" x14ac:dyDescent="0.4">
      <c r="A45" s="82"/>
      <c r="B45" s="83" t="s">
        <v>2</v>
      </c>
      <c r="C45" s="84"/>
      <c r="D45" s="85">
        <f>+D43+D38</f>
        <v>1694065</v>
      </c>
      <c r="E45" s="86">
        <f>+E43+E38</f>
        <v>0</v>
      </c>
      <c r="F45" s="87">
        <f>+F43+F38</f>
        <v>0</v>
      </c>
      <c r="G45" s="86">
        <f>+G43+G38</f>
        <v>0</v>
      </c>
    </row>
    <row r="46" spans="1:8" x14ac:dyDescent="0.35">
      <c r="A46" s="88"/>
      <c r="B46" s="88"/>
      <c r="C46" s="89"/>
      <c r="D46" s="90"/>
      <c r="E46" s="91"/>
      <c r="F46" s="90"/>
      <c r="G46" s="91"/>
    </row>
  </sheetData>
  <sheetProtection algorithmName="SHA-512" hashValue="KpbeyF5KUrklQByaFrqBIWSH5ikKZSin8H+l4Krr+O/FrNmcXlO7ldpYEmSO/ZODRuuVdPfqVN4ouGPL4gW7TQ==" saltValue="FXGmbJ0DpkG3c0pxR3xKKg==" spinCount="100000" sheet="1" formatCells="0" formatColumns="0" formatRows="0" insertColumns="0" insertRows="0" insertHyperlinks="0" deleteColumns="0" deleteRows="0" autoFilter="0" pivotTables="0"/>
  <sortState ref="B9:D25">
    <sortCondition ref="C9:C25"/>
  </sortState>
  <mergeCells count="5">
    <mergeCell ref="A1:G1"/>
    <mergeCell ref="A2:G2"/>
    <mergeCell ref="A3:G3"/>
    <mergeCell ref="D5:E5"/>
    <mergeCell ref="F5:G5"/>
  </mergeCells>
  <pageMargins left="0.7" right="0.7" top="0.75" bottom="0.75" header="0.3" footer="0.3"/>
  <pageSetup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9"/>
  <sheetViews>
    <sheetView tabSelected="1" view="pageBreakPreview" zoomScale="60" zoomScaleNormal="100" workbookViewId="0">
      <selection activeCell="A23" sqref="A23:F23"/>
    </sheetView>
  </sheetViews>
  <sheetFormatPr defaultColWidth="9.1796875" defaultRowHeight="14.5" x14ac:dyDescent="0.35"/>
  <cols>
    <col min="1" max="1" width="9.26953125" style="123" customWidth="1"/>
    <col min="2" max="3" width="9.1796875" style="123"/>
    <col min="4" max="4" width="9.1796875" style="123" customWidth="1"/>
    <col min="5" max="5" width="14.7265625" style="123" customWidth="1"/>
    <col min="6" max="6" width="15.7265625" style="123" customWidth="1"/>
    <col min="7" max="7" width="15.81640625" style="123" customWidth="1"/>
    <col min="8" max="8" width="17" style="123" customWidth="1"/>
    <col min="9" max="9" width="15.26953125" style="123" customWidth="1"/>
    <col min="10" max="10" width="12.81640625" style="123" customWidth="1"/>
    <col min="11" max="12" width="14.54296875" style="123" customWidth="1"/>
    <col min="13" max="16384" width="9.1796875" style="36"/>
  </cols>
  <sheetData>
    <row r="1" spans="1:14" s="59" customFormat="1" ht="15.5" x14ac:dyDescent="0.35">
      <c r="A1" s="138" t="s">
        <v>58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4" s="59" customFormat="1" ht="15.5" x14ac:dyDescent="0.35">
      <c r="A2" s="140" t="s">
        <v>85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4" ht="15" customHeight="1" x14ac:dyDescent="0.35">
      <c r="A3" s="140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4" ht="15" customHeight="1" thickBot="1" x14ac:dyDescent="0.4">
      <c r="A4" s="93"/>
      <c r="B4" s="94"/>
      <c r="C4" s="95"/>
      <c r="D4" s="96"/>
      <c r="E4" s="96"/>
      <c r="F4" s="97"/>
      <c r="G4" s="97"/>
      <c r="H4" s="97"/>
      <c r="I4" s="97"/>
      <c r="J4" s="97"/>
      <c r="K4" s="97"/>
      <c r="L4" s="97"/>
    </row>
    <row r="5" spans="1:14" ht="15" customHeight="1" x14ac:dyDescent="0.35">
      <c r="A5" s="193" t="s">
        <v>86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5"/>
    </row>
    <row r="6" spans="1:14" ht="15" customHeight="1" x14ac:dyDescent="0.35">
      <c r="A6" s="196" t="s">
        <v>87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8"/>
    </row>
    <row r="7" spans="1:14" ht="39" customHeight="1" x14ac:dyDescent="0.35">
      <c r="A7" s="199" t="s">
        <v>88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1"/>
    </row>
    <row r="8" spans="1:14" ht="15" customHeight="1" x14ac:dyDescent="0.35">
      <c r="A8" s="185" t="s">
        <v>89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7"/>
    </row>
    <row r="9" spans="1:14" ht="15" customHeight="1" x14ac:dyDescent="0.35">
      <c r="A9" s="149" t="s">
        <v>90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88"/>
    </row>
    <row r="10" spans="1:14" ht="15" customHeight="1" x14ac:dyDescent="0.35">
      <c r="A10" s="189" t="s">
        <v>91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1"/>
    </row>
    <row r="11" spans="1:14" ht="44.25" customHeight="1" x14ac:dyDescent="0.35">
      <c r="A11" s="98"/>
      <c r="B11" s="192" t="s">
        <v>92</v>
      </c>
      <c r="C11" s="192"/>
      <c r="D11" s="192"/>
      <c r="E11" s="192"/>
      <c r="F11" s="99">
        <v>2019</v>
      </c>
      <c r="G11" s="99" t="s">
        <v>93</v>
      </c>
      <c r="H11" s="99" t="s">
        <v>94</v>
      </c>
      <c r="I11" s="99" t="s">
        <v>95</v>
      </c>
      <c r="J11" s="99" t="s">
        <v>96</v>
      </c>
      <c r="K11" s="99" t="s">
        <v>97</v>
      </c>
      <c r="L11" s="100" t="s">
        <v>98</v>
      </c>
    </row>
    <row r="12" spans="1:14" ht="15" customHeight="1" x14ac:dyDescent="0.35">
      <c r="A12" s="165" t="s">
        <v>99</v>
      </c>
      <c r="B12" s="166"/>
      <c r="C12" s="166"/>
      <c r="D12" s="166"/>
      <c r="E12" s="166"/>
      <c r="F12" s="101">
        <f>'[3]Statutory Body Budget'!B53</f>
        <v>4175461.4</v>
      </c>
      <c r="G12" s="101">
        <f>'[3]Statutory Body Budget'!C53</f>
        <v>4441818</v>
      </c>
      <c r="H12" s="101">
        <f>'[3]Statutory Body Budget'!D53</f>
        <v>4396508</v>
      </c>
      <c r="I12" s="101">
        <f>'[3]Statutory Body Budget'!E53</f>
        <v>0</v>
      </c>
      <c r="J12" s="101">
        <f>'[3]Statutory Body Budget'!F53</f>
        <v>0</v>
      </c>
      <c r="K12" s="101">
        <f>'[3]Statutory Body Budget'!G53</f>
        <v>0</v>
      </c>
      <c r="L12" s="102">
        <f>'[3]Statutory Body Budget'!H53</f>
        <v>0</v>
      </c>
    </row>
    <row r="13" spans="1:14" ht="15" customHeight="1" x14ac:dyDescent="0.35">
      <c r="A13" s="165" t="s">
        <v>100</v>
      </c>
      <c r="B13" s="166"/>
      <c r="C13" s="166"/>
      <c r="D13" s="166"/>
      <c r="E13" s="166"/>
      <c r="F13" s="101">
        <f>'[3]Statutory Body Budget'!B55</f>
        <v>0</v>
      </c>
      <c r="G13" s="101">
        <f>'[3]Statutory Body Budget'!C55</f>
        <v>0</v>
      </c>
      <c r="H13" s="101">
        <f>'[3]Statutory Body Budget'!D55</f>
        <v>0</v>
      </c>
      <c r="I13" s="101">
        <f>'[3]Statutory Body Budget'!E55</f>
        <v>0</v>
      </c>
      <c r="J13" s="101">
        <f>'[3]Statutory Body Budget'!F55</f>
        <v>0</v>
      </c>
      <c r="K13" s="101">
        <f>'[3]Statutory Body Budget'!G55</f>
        <v>0</v>
      </c>
      <c r="L13" s="103">
        <f>'[3]Statutory Body Budget'!H55</f>
        <v>0</v>
      </c>
      <c r="M13" s="59"/>
      <c r="N13" s="59"/>
    </row>
    <row r="14" spans="1:14" ht="15" customHeight="1" x14ac:dyDescent="0.35">
      <c r="A14" s="179" t="s">
        <v>101</v>
      </c>
      <c r="B14" s="180"/>
      <c r="C14" s="180"/>
      <c r="D14" s="180"/>
      <c r="E14" s="180"/>
      <c r="F14" s="104">
        <f t="shared" ref="F14:L14" si="0">F12+F13</f>
        <v>4175461.4</v>
      </c>
      <c r="G14" s="104">
        <f t="shared" si="0"/>
        <v>4441818</v>
      </c>
      <c r="H14" s="104">
        <f t="shared" si="0"/>
        <v>4396508</v>
      </c>
      <c r="I14" s="104">
        <f t="shared" si="0"/>
        <v>0</v>
      </c>
      <c r="J14" s="104">
        <f t="shared" si="0"/>
        <v>0</v>
      </c>
      <c r="K14" s="104">
        <f t="shared" si="0"/>
        <v>0</v>
      </c>
      <c r="L14" s="105">
        <f t="shared" si="0"/>
        <v>0</v>
      </c>
    </row>
    <row r="15" spans="1:14" ht="15" customHeight="1" x14ac:dyDescent="0.35">
      <c r="A15" s="162" t="s">
        <v>102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2"/>
    </row>
    <row r="16" spans="1:14" ht="15" customHeight="1" x14ac:dyDescent="0.35">
      <c r="A16" s="183" t="s">
        <v>103</v>
      </c>
      <c r="B16" s="184"/>
      <c r="C16" s="184"/>
      <c r="D16" s="184"/>
      <c r="E16" s="184"/>
      <c r="F16" s="106"/>
      <c r="G16" s="106">
        <v>8</v>
      </c>
      <c r="H16" s="106">
        <v>8</v>
      </c>
      <c r="I16" s="106"/>
      <c r="J16" s="106">
        <v>8</v>
      </c>
      <c r="K16" s="106">
        <v>8</v>
      </c>
      <c r="L16" s="106">
        <v>8</v>
      </c>
    </row>
    <row r="17" spans="1:12" ht="15" customHeight="1" x14ac:dyDescent="0.35">
      <c r="A17" s="183" t="s">
        <v>104</v>
      </c>
      <c r="B17" s="184"/>
      <c r="C17" s="184"/>
      <c r="D17" s="184"/>
      <c r="E17" s="184"/>
      <c r="F17" s="106"/>
      <c r="G17" s="106">
        <v>4</v>
      </c>
      <c r="H17" s="106">
        <v>4</v>
      </c>
      <c r="I17" s="106"/>
      <c r="J17" s="106">
        <v>4</v>
      </c>
      <c r="K17" s="106">
        <v>4</v>
      </c>
      <c r="L17" s="106">
        <v>4</v>
      </c>
    </row>
    <row r="18" spans="1:12" ht="15" customHeight="1" x14ac:dyDescent="0.35">
      <c r="A18" s="183" t="s">
        <v>105</v>
      </c>
      <c r="B18" s="184"/>
      <c r="C18" s="184"/>
      <c r="D18" s="184"/>
      <c r="E18" s="184"/>
      <c r="F18" s="106"/>
      <c r="G18" s="106">
        <v>1</v>
      </c>
      <c r="H18" s="106">
        <v>1</v>
      </c>
      <c r="I18" s="106"/>
      <c r="J18" s="106">
        <v>1</v>
      </c>
      <c r="K18" s="106">
        <v>1</v>
      </c>
      <c r="L18" s="106">
        <v>1</v>
      </c>
    </row>
    <row r="19" spans="1:12" ht="15" customHeight="1" x14ac:dyDescent="0.35">
      <c r="A19" s="183" t="s">
        <v>106</v>
      </c>
      <c r="B19" s="184"/>
      <c r="C19" s="184"/>
      <c r="D19" s="184"/>
      <c r="E19" s="184"/>
      <c r="F19" s="106"/>
      <c r="G19" s="106">
        <v>3</v>
      </c>
      <c r="H19" s="106">
        <v>3</v>
      </c>
      <c r="I19" s="106"/>
      <c r="J19" s="106">
        <v>3</v>
      </c>
      <c r="K19" s="106">
        <v>3</v>
      </c>
      <c r="L19" s="106">
        <v>3</v>
      </c>
    </row>
    <row r="20" spans="1:12" ht="15" customHeight="1" x14ac:dyDescent="0.35">
      <c r="A20" s="145" t="s">
        <v>107</v>
      </c>
      <c r="B20" s="147"/>
      <c r="C20" s="147"/>
      <c r="D20" s="147"/>
      <c r="E20" s="147"/>
      <c r="F20" s="107">
        <f>SUM(F16:F19)</f>
        <v>0</v>
      </c>
      <c r="G20" s="107">
        <f t="shared" ref="G20:L20" si="1">SUM(G16:G19)</f>
        <v>16</v>
      </c>
      <c r="H20" s="107">
        <f t="shared" si="1"/>
        <v>16</v>
      </c>
      <c r="I20" s="107">
        <f t="shared" si="1"/>
        <v>0</v>
      </c>
      <c r="J20" s="107">
        <f t="shared" si="1"/>
        <v>16</v>
      </c>
      <c r="K20" s="107">
        <f t="shared" si="1"/>
        <v>16</v>
      </c>
      <c r="L20" s="108">
        <f t="shared" si="1"/>
        <v>16</v>
      </c>
    </row>
    <row r="21" spans="1:12" ht="15" customHeight="1" x14ac:dyDescent="0.35">
      <c r="A21" s="168" t="s">
        <v>108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70"/>
    </row>
    <row r="22" spans="1:12" ht="15" customHeight="1" x14ac:dyDescent="0.35">
      <c r="A22" s="171" t="s">
        <v>109</v>
      </c>
      <c r="B22" s="172"/>
      <c r="C22" s="172"/>
      <c r="D22" s="172"/>
      <c r="E22" s="172"/>
      <c r="F22" s="172"/>
      <c r="G22" s="172" t="s">
        <v>110</v>
      </c>
      <c r="H22" s="172"/>
      <c r="I22" s="172"/>
      <c r="J22" s="172"/>
      <c r="K22" s="172"/>
      <c r="L22" s="173"/>
    </row>
    <row r="23" spans="1:12" ht="29.25" customHeight="1" x14ac:dyDescent="0.35">
      <c r="A23" s="174" t="s">
        <v>111</v>
      </c>
      <c r="B23" s="175"/>
      <c r="C23" s="175"/>
      <c r="D23" s="175"/>
      <c r="E23" s="175"/>
      <c r="F23" s="176"/>
      <c r="G23" s="177" t="s">
        <v>112</v>
      </c>
      <c r="H23" s="175"/>
      <c r="I23" s="175"/>
      <c r="J23" s="175"/>
      <c r="K23" s="175"/>
      <c r="L23" s="178"/>
    </row>
    <row r="24" spans="1:12" ht="38.25" customHeight="1" x14ac:dyDescent="0.35">
      <c r="A24" s="157" t="s">
        <v>111</v>
      </c>
      <c r="B24" s="158"/>
      <c r="C24" s="158"/>
      <c r="D24" s="158"/>
      <c r="E24" s="158"/>
      <c r="F24" s="159"/>
      <c r="G24" s="160" t="s">
        <v>112</v>
      </c>
      <c r="H24" s="158"/>
      <c r="I24" s="158"/>
      <c r="J24" s="158"/>
      <c r="K24" s="158"/>
      <c r="L24" s="161"/>
    </row>
    <row r="25" spans="1:12" ht="15" customHeight="1" x14ac:dyDescent="0.35">
      <c r="A25" s="162" t="s">
        <v>113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/>
    </row>
    <row r="26" spans="1:12" ht="28.5" customHeight="1" x14ac:dyDescent="0.35">
      <c r="A26" s="165" t="s">
        <v>114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7"/>
    </row>
    <row r="27" spans="1:12" ht="16.5" customHeight="1" x14ac:dyDescent="0.35">
      <c r="A27" s="165" t="s">
        <v>115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7"/>
    </row>
    <row r="28" spans="1:12" ht="30" customHeight="1" x14ac:dyDescent="0.35">
      <c r="A28" s="165" t="s">
        <v>116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7"/>
    </row>
    <row r="29" spans="1:12" ht="28.5" customHeight="1" x14ac:dyDescent="0.35">
      <c r="A29" s="153" t="s">
        <v>117</v>
      </c>
      <c r="B29" s="154"/>
      <c r="C29" s="154"/>
      <c r="D29" s="154"/>
      <c r="E29" s="154"/>
      <c r="F29" s="109" t="s">
        <v>118</v>
      </c>
      <c r="G29" s="109" t="s">
        <v>119</v>
      </c>
      <c r="H29" s="109" t="s">
        <v>120</v>
      </c>
      <c r="I29" s="109" t="s">
        <v>121</v>
      </c>
      <c r="J29" s="109" t="s">
        <v>122</v>
      </c>
      <c r="K29" s="109" t="s">
        <v>123</v>
      </c>
      <c r="L29" s="110" t="s">
        <v>124</v>
      </c>
    </row>
    <row r="30" spans="1:12" ht="15" customHeight="1" x14ac:dyDescent="0.35">
      <c r="A30" s="145" t="s">
        <v>125</v>
      </c>
      <c r="B30" s="146"/>
      <c r="C30" s="146"/>
      <c r="D30" s="146"/>
      <c r="E30" s="146"/>
      <c r="F30" s="146"/>
      <c r="G30" s="146"/>
      <c r="H30" s="146"/>
      <c r="I30" s="147"/>
      <c r="J30" s="147"/>
      <c r="K30" s="147"/>
      <c r="L30" s="148"/>
    </row>
    <row r="31" spans="1:12" ht="15" customHeight="1" x14ac:dyDescent="0.35">
      <c r="A31" s="149" t="s">
        <v>126</v>
      </c>
      <c r="B31" s="150"/>
      <c r="C31" s="150"/>
      <c r="D31" s="150"/>
      <c r="E31" s="150"/>
      <c r="F31" s="111"/>
      <c r="G31" s="111"/>
      <c r="H31" s="111"/>
      <c r="I31" s="111"/>
      <c r="J31" s="111"/>
      <c r="K31" s="111"/>
      <c r="L31" s="112"/>
    </row>
    <row r="32" spans="1:12" ht="15" customHeight="1" x14ac:dyDescent="0.35">
      <c r="A32" s="149" t="s">
        <v>127</v>
      </c>
      <c r="B32" s="150"/>
      <c r="C32" s="150"/>
      <c r="D32" s="150"/>
      <c r="E32" s="150"/>
      <c r="F32" s="111"/>
      <c r="G32" s="111"/>
      <c r="H32" s="111"/>
      <c r="I32" s="111"/>
      <c r="J32" s="111"/>
      <c r="K32" s="111"/>
      <c r="L32" s="112"/>
    </row>
    <row r="33" spans="1:12" ht="15" customHeight="1" x14ac:dyDescent="0.35">
      <c r="A33" s="149" t="s">
        <v>128</v>
      </c>
      <c r="B33" s="150"/>
      <c r="C33" s="150"/>
      <c r="D33" s="150"/>
      <c r="E33" s="150"/>
      <c r="F33" s="106"/>
      <c r="G33" s="106"/>
      <c r="H33" s="106"/>
      <c r="I33" s="106"/>
      <c r="J33" s="106"/>
      <c r="K33" s="106"/>
      <c r="L33" s="113"/>
    </row>
    <row r="34" spans="1:12" ht="15" customHeight="1" x14ac:dyDescent="0.35">
      <c r="A34" s="155" t="s">
        <v>129</v>
      </c>
      <c r="B34" s="156"/>
      <c r="C34" s="156"/>
      <c r="D34" s="156"/>
      <c r="E34" s="156"/>
      <c r="F34" s="114"/>
      <c r="G34" s="114"/>
      <c r="H34" s="114"/>
      <c r="I34" s="114"/>
      <c r="J34" s="114"/>
      <c r="K34" s="114"/>
      <c r="L34" s="115"/>
    </row>
    <row r="35" spans="1:12" ht="15" customHeight="1" x14ac:dyDescent="0.35">
      <c r="A35" s="145" t="s">
        <v>130</v>
      </c>
      <c r="B35" s="146"/>
      <c r="C35" s="146"/>
      <c r="D35" s="146"/>
      <c r="E35" s="146"/>
      <c r="F35" s="146"/>
      <c r="G35" s="146"/>
      <c r="H35" s="146"/>
      <c r="I35" s="147"/>
      <c r="J35" s="147"/>
      <c r="K35" s="147"/>
      <c r="L35" s="148"/>
    </row>
    <row r="36" spans="1:12" ht="28.5" customHeight="1" x14ac:dyDescent="0.35">
      <c r="A36" s="149" t="s">
        <v>131</v>
      </c>
      <c r="B36" s="150"/>
      <c r="C36" s="150"/>
      <c r="D36" s="150"/>
      <c r="E36" s="150"/>
      <c r="F36" s="116"/>
      <c r="G36" s="116"/>
      <c r="H36" s="116"/>
      <c r="I36" s="116"/>
      <c r="J36" s="116"/>
      <c r="K36" s="116"/>
      <c r="L36" s="117"/>
    </row>
    <row r="37" spans="1:12" ht="27" customHeight="1" x14ac:dyDescent="0.35">
      <c r="A37" s="149" t="s">
        <v>131</v>
      </c>
      <c r="B37" s="150"/>
      <c r="C37" s="150"/>
      <c r="D37" s="150"/>
      <c r="E37" s="150"/>
      <c r="F37" s="116"/>
      <c r="G37" s="116"/>
      <c r="H37" s="116"/>
      <c r="I37" s="116"/>
      <c r="J37" s="116"/>
      <c r="K37" s="116"/>
      <c r="L37" s="117"/>
    </row>
    <row r="38" spans="1:12" ht="26.25" customHeight="1" x14ac:dyDescent="0.35">
      <c r="A38" s="149" t="s">
        <v>131</v>
      </c>
      <c r="B38" s="150"/>
      <c r="C38" s="150"/>
      <c r="D38" s="150"/>
      <c r="E38" s="150"/>
      <c r="F38" s="118"/>
      <c r="G38" s="118"/>
      <c r="H38" s="118"/>
      <c r="I38" s="118"/>
      <c r="J38" s="118"/>
      <c r="K38" s="118"/>
      <c r="L38" s="119"/>
    </row>
    <row r="39" spans="1:12" ht="48" customHeight="1" thickBot="1" x14ac:dyDescent="0.4">
      <c r="A39" s="151" t="s">
        <v>131</v>
      </c>
      <c r="B39" s="152"/>
      <c r="C39" s="152"/>
      <c r="D39" s="152"/>
      <c r="E39" s="152"/>
      <c r="F39" s="120"/>
      <c r="G39" s="120"/>
      <c r="H39" s="120"/>
      <c r="I39" s="121"/>
      <c r="J39" s="121"/>
      <c r="K39" s="121"/>
      <c r="L39" s="122"/>
    </row>
  </sheetData>
  <sheetProtection algorithmName="SHA-512" hashValue="3NNZcmFdQ8UY7VTB6roVQMgF4YX1UYDFds2x0KaDqks8HK6FVYivcfxXs4rdnZXXtCTf9Mock6rY+8Jw2nCwww==" saltValue="M0t0LjAv8e+D+DZb5yWu5g==" spinCount="100000" sheet="1" formatCells="0" formatColumns="0" formatRows="0" insertColumns="0" insertRows="0" insertHyperlinks="0" deleteColumns="0" deleteRows="0" autoFilter="0" pivotTables="0"/>
  <mergeCells count="41">
    <mergeCell ref="A7:L7"/>
    <mergeCell ref="A1:L1"/>
    <mergeCell ref="A2:L2"/>
    <mergeCell ref="A3:L3"/>
    <mergeCell ref="A5:L5"/>
    <mergeCell ref="A6:L6"/>
    <mergeCell ref="A19:E19"/>
    <mergeCell ref="A8:L8"/>
    <mergeCell ref="A9:L9"/>
    <mergeCell ref="A10:L10"/>
    <mergeCell ref="B11:E11"/>
    <mergeCell ref="A12:E12"/>
    <mergeCell ref="A13:E13"/>
    <mergeCell ref="A14:E14"/>
    <mergeCell ref="A15:L15"/>
    <mergeCell ref="A16:E16"/>
    <mergeCell ref="A17:E17"/>
    <mergeCell ref="A18:E18"/>
    <mergeCell ref="A20:E20"/>
    <mergeCell ref="A21:L21"/>
    <mergeCell ref="A22:F22"/>
    <mergeCell ref="G22:L22"/>
    <mergeCell ref="A23:F23"/>
    <mergeCell ref="G23:L23"/>
    <mergeCell ref="A34:E34"/>
    <mergeCell ref="A24:F24"/>
    <mergeCell ref="G24:L24"/>
    <mergeCell ref="A25:L25"/>
    <mergeCell ref="A26:L26"/>
    <mergeCell ref="A27:L27"/>
    <mergeCell ref="A28:L28"/>
    <mergeCell ref="A29:E29"/>
    <mergeCell ref="A30:L30"/>
    <mergeCell ref="A31:E31"/>
    <mergeCell ref="A32:E32"/>
    <mergeCell ref="A33:E33"/>
    <mergeCell ref="A35:L35"/>
    <mergeCell ref="A36:E36"/>
    <mergeCell ref="A37:E37"/>
    <mergeCell ref="A38:E38"/>
    <mergeCell ref="A39:E39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Statutory Body Budget</vt:lpstr>
      <vt:lpstr>Statutory Body HR</vt:lpstr>
      <vt:lpstr>Statutory Body KPI</vt:lpstr>
      <vt:lpstr>'Statutory Body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M. Gumbs</dc:creator>
  <cp:lastModifiedBy>Marisa Harding Hodge</cp:lastModifiedBy>
  <dcterms:created xsi:type="dcterms:W3CDTF">2021-02-12T01:33:29Z</dcterms:created>
  <dcterms:modified xsi:type="dcterms:W3CDTF">2021-02-15T13:11:44Z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